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30" windowWidth="14055" windowHeight="12105" tabRatio="685" activeTab="4"/>
  </bookViews>
  <sheets>
    <sheet name="прил6" sheetId="1" r:id="rId1"/>
    <sheet name="прил7" sheetId="32" r:id="rId2"/>
    <sheet name="прил8" sheetId="4" r:id="rId3"/>
    <sheet name="прил9" sheetId="33" r:id="rId4"/>
    <sheet name="прил11" sheetId="38" r:id="rId5"/>
    <sheet name="прил12" sheetId="39" r:id="rId6"/>
    <sheet name="не нужно" sheetId="37" r:id="rId7"/>
  </sheets>
  <externalReferences>
    <externalReference r:id="rId8"/>
  </externalReferences>
  <definedNames>
    <definedName name="ID_604121" localSheetId="6">#REF!</definedName>
    <definedName name="ID_604121" localSheetId="4">#REF!</definedName>
    <definedName name="ID_604121" localSheetId="0">#REF!</definedName>
    <definedName name="ID_604121" localSheetId="1">#REF!</definedName>
    <definedName name="ID_604121" localSheetId="2">#REF!</definedName>
    <definedName name="ID_604121">#REF!</definedName>
    <definedName name="id_604122" localSheetId="6">#REF!</definedName>
    <definedName name="id_604122" localSheetId="4">#REF!</definedName>
    <definedName name="id_604122" localSheetId="1">#REF!</definedName>
    <definedName name="id_604122" localSheetId="2">#REF!</definedName>
    <definedName name="id_604122">#REF!</definedName>
    <definedName name="id_604145" localSheetId="6">#REF!</definedName>
    <definedName name="id_604145" localSheetId="4">#REF!</definedName>
    <definedName name="id_604145" localSheetId="1">#REF!</definedName>
    <definedName name="id_604145" localSheetId="2">#REF!</definedName>
    <definedName name="id_604145">#REF!</definedName>
    <definedName name="id_604178" localSheetId="6">#REF!</definedName>
    <definedName name="id_604178" localSheetId="1">#REF!</definedName>
    <definedName name="id_604178" localSheetId="2">#REF!</definedName>
    <definedName name="id_604178">#REF!</definedName>
    <definedName name="апап" localSheetId="6">#REF!</definedName>
    <definedName name="апап" localSheetId="1">#REF!</definedName>
    <definedName name="апап" localSheetId="2">#REF!</definedName>
    <definedName name="апап">#REF!</definedName>
    <definedName name="_xlnm.Print_Titles" localSheetId="4">прил11!$12:$12</definedName>
    <definedName name="_xlnm.Print_Titles" localSheetId="0">прил6!$9:$9</definedName>
    <definedName name="_xlnm.Print_Titles" localSheetId="1">прил7!$7:$10</definedName>
    <definedName name="_xlnm.Print_Titles" localSheetId="2">прил8!$9:$12</definedName>
    <definedName name="_xlnm.Print_Titles" localSheetId="3">прил9!$12:$12</definedName>
    <definedName name="_xlnm.Print_Area" localSheetId="4">прил11!$A$1:$G$162</definedName>
    <definedName name="_xlnm.Print_Area" localSheetId="5">прил12!$A$1:$I$40</definedName>
    <definedName name="_xlnm.Print_Area" localSheetId="0">прил6!$A$1:$H$28</definedName>
    <definedName name="_xlnm.Print_Area" localSheetId="1">прил7!$A$1:$M$80</definedName>
    <definedName name="_xlnm.Print_Area" localSheetId="2">прил8!$A$1:$M$82</definedName>
    <definedName name="_xlnm.Print_Area" localSheetId="3">прил9!$A$1:$M$83</definedName>
    <definedName name="ф" localSheetId="6">#REF!</definedName>
    <definedName name="ф" localSheetId="4">#REF!</definedName>
    <definedName name="ф" localSheetId="0">#REF!</definedName>
    <definedName name="ф" localSheetId="1">#REF!</definedName>
    <definedName name="ф" localSheetId="2">#REF!</definedName>
    <definedName name="ф">#REF!</definedName>
  </definedNames>
  <calcPr calcId="145621"/>
</workbook>
</file>

<file path=xl/calcChain.xml><?xml version="1.0" encoding="utf-8"?>
<calcChain xmlns="http://schemas.openxmlformats.org/spreadsheetml/2006/main">
  <c r="L46" i="33" l="1"/>
  <c r="L46" i="4"/>
  <c r="L44" i="32"/>
  <c r="J44" i="32" s="1"/>
  <c r="C26" i="1"/>
  <c r="K33" i="37" l="1"/>
  <c r="F54" i="37"/>
  <c r="F53" i="37"/>
  <c r="F52" i="37"/>
  <c r="F51" i="37"/>
  <c r="F50" i="37"/>
  <c r="K50" i="37"/>
  <c r="K51" i="37"/>
  <c r="K52" i="37"/>
  <c r="K53" i="37"/>
  <c r="K54" i="37"/>
  <c r="F37" i="37"/>
  <c r="F36" i="37"/>
  <c r="F35" i="37"/>
  <c r="F34" i="37"/>
  <c r="F33" i="37"/>
  <c r="F19" i="37"/>
  <c r="F18" i="37"/>
  <c r="F17" i="37"/>
  <c r="F16" i="37"/>
  <c r="F15" i="37"/>
  <c r="K16" i="37"/>
  <c r="K17" i="37"/>
  <c r="K18" i="37"/>
  <c r="K19" i="37"/>
  <c r="K15" i="37"/>
  <c r="J12" i="37" l="1"/>
  <c r="I12" i="32"/>
  <c r="E41" i="32" l="1"/>
  <c r="E37" i="32"/>
  <c r="E43" i="4"/>
  <c r="E39" i="4"/>
  <c r="G26" i="1"/>
  <c r="E26" i="1"/>
  <c r="F58" i="4"/>
  <c r="F58" i="33"/>
  <c r="F27" i="1"/>
  <c r="G27" i="1" s="1"/>
  <c r="D27" i="1"/>
  <c r="E27" i="1" s="1"/>
  <c r="B27" i="1" l="1"/>
  <c r="F56" i="32"/>
  <c r="J57" i="33"/>
  <c r="F55" i="32"/>
  <c r="F57" i="4" s="1"/>
  <c r="G14" i="1"/>
  <c r="E14" i="1"/>
  <c r="C14" i="1" l="1"/>
  <c r="C27" i="1"/>
  <c r="F57" i="33"/>
  <c r="G57" i="33" s="1"/>
  <c r="K24" i="32"/>
  <c r="K26" i="4" s="1"/>
  <c r="K26" i="33" s="1"/>
  <c r="D91" i="33" s="1"/>
  <c r="G60" i="33" l="1"/>
  <c r="G44" i="33" s="1"/>
  <c r="G59" i="33"/>
  <c r="J59" i="33" s="1"/>
  <c r="L59" i="33" s="1"/>
  <c r="L43" i="33" s="1"/>
  <c r="J43" i="33" s="1"/>
  <c r="G58" i="33"/>
  <c r="G55" i="33"/>
  <c r="G39" i="33" s="1"/>
  <c r="G56" i="33"/>
  <c r="G53" i="33"/>
  <c r="G52" i="33"/>
  <c r="G51" i="33"/>
  <c r="J51" i="33" s="1"/>
  <c r="L51" i="33" s="1"/>
  <c r="L35" i="33" s="1"/>
  <c r="J35" i="33" s="1"/>
  <c r="G50" i="33"/>
  <c r="G49" i="33"/>
  <c r="G33" i="33" s="1"/>
  <c r="J46" i="33"/>
  <c r="L45" i="33"/>
  <c r="J45" i="33" s="1"/>
  <c r="F45" i="33"/>
  <c r="F44" i="33"/>
  <c r="M43" i="33"/>
  <c r="K43" i="33"/>
  <c r="I43" i="33"/>
  <c r="H43" i="33"/>
  <c r="F43" i="33"/>
  <c r="E43" i="33"/>
  <c r="F42" i="33"/>
  <c r="M39" i="33"/>
  <c r="K39" i="33"/>
  <c r="I39" i="33"/>
  <c r="H39" i="33"/>
  <c r="F39" i="33"/>
  <c r="E39" i="33"/>
  <c r="F41" i="33"/>
  <c r="F40" i="33"/>
  <c r="F38" i="33"/>
  <c r="F37" i="33"/>
  <c r="F36" i="33"/>
  <c r="F35" i="33"/>
  <c r="F34" i="33"/>
  <c r="J46" i="4"/>
  <c r="L45" i="4"/>
  <c r="J45" i="4" s="1"/>
  <c r="F45" i="4"/>
  <c r="F44" i="4"/>
  <c r="M43" i="4"/>
  <c r="K43" i="4"/>
  <c r="I43" i="4"/>
  <c r="H43" i="4"/>
  <c r="F43" i="4"/>
  <c r="F42" i="4"/>
  <c r="I39" i="4"/>
  <c r="F39" i="4"/>
  <c r="L41" i="4"/>
  <c r="J41" i="4" s="1"/>
  <c r="F41" i="4"/>
  <c r="F40" i="4"/>
  <c r="F38" i="4"/>
  <c r="F37" i="4"/>
  <c r="F36" i="4"/>
  <c r="F35" i="4"/>
  <c r="F34" i="4"/>
  <c r="J57" i="4"/>
  <c r="G49" i="4"/>
  <c r="G33" i="4" s="1"/>
  <c r="G60" i="4"/>
  <c r="J60" i="4" s="1"/>
  <c r="G59" i="4"/>
  <c r="G43" i="4" s="1"/>
  <c r="G58" i="4"/>
  <c r="J58" i="4" s="1"/>
  <c r="L58" i="4" s="1"/>
  <c r="G55" i="4"/>
  <c r="G56" i="4"/>
  <c r="J56" i="4" s="1"/>
  <c r="L56" i="4" s="1"/>
  <c r="L40" i="4" s="1"/>
  <c r="J40" i="4" s="1"/>
  <c r="G53" i="4"/>
  <c r="J53" i="4" s="1"/>
  <c r="L53" i="4" s="1"/>
  <c r="L37" i="4" s="1"/>
  <c r="J37" i="4" s="1"/>
  <c r="G52" i="4"/>
  <c r="J52" i="4" s="1"/>
  <c r="L52" i="4" s="1"/>
  <c r="L36" i="4" s="1"/>
  <c r="J36" i="4" s="1"/>
  <c r="G51" i="4"/>
  <c r="J51" i="4" s="1"/>
  <c r="L51" i="4" s="1"/>
  <c r="L35" i="4" s="1"/>
  <c r="J35" i="4" s="1"/>
  <c r="G50" i="4"/>
  <c r="J50" i="4" s="1"/>
  <c r="L50" i="4" s="1"/>
  <c r="L34" i="4" s="1"/>
  <c r="J34" i="4" s="1"/>
  <c r="H55" i="4"/>
  <c r="H39" i="4" s="1"/>
  <c r="K55" i="4"/>
  <c r="K39" i="4" s="1"/>
  <c r="M55" i="4"/>
  <c r="M39" i="4" s="1"/>
  <c r="L61" i="4"/>
  <c r="G74" i="4"/>
  <c r="G45" i="4" s="1"/>
  <c r="D93" i="4"/>
  <c r="F42" i="32"/>
  <c r="F41" i="32"/>
  <c r="F40" i="32"/>
  <c r="F36" i="32"/>
  <c r="F34" i="32"/>
  <c r="F33" i="32"/>
  <c r="G36" i="4" l="1"/>
  <c r="G35" i="4"/>
  <c r="G34" i="4"/>
  <c r="G40" i="4"/>
  <c r="G43" i="33"/>
  <c r="J74" i="4"/>
  <c r="J61" i="4" s="1"/>
  <c r="G41" i="4"/>
  <c r="G37" i="4"/>
  <c r="G39" i="4"/>
  <c r="J55" i="4"/>
  <c r="L55" i="4" s="1"/>
  <c r="L39" i="4" s="1"/>
  <c r="G44" i="4"/>
  <c r="J59" i="4"/>
  <c r="L59" i="4" s="1"/>
  <c r="L43" i="4" s="1"/>
  <c r="J43" i="4" s="1"/>
  <c r="L42" i="4"/>
  <c r="J42" i="4" s="1"/>
  <c r="G42" i="4" s="1"/>
  <c r="G35" i="33"/>
  <c r="D92" i="4"/>
  <c r="J49" i="4"/>
  <c r="L49" i="4" s="1"/>
  <c r="L33" i="4" s="1"/>
  <c r="J33" i="4" s="1"/>
  <c r="F33" i="4" s="1"/>
  <c r="L60" i="4"/>
  <c r="L44" i="4" s="1"/>
  <c r="J44" i="4" s="1"/>
  <c r="D88" i="4"/>
  <c r="G58" i="32"/>
  <c r="G42" i="32" s="1"/>
  <c r="G57" i="32"/>
  <c r="G41" i="32" s="1"/>
  <c r="G56" i="32"/>
  <c r="G53" i="32"/>
  <c r="G37" i="32" s="1"/>
  <c r="G54" i="32"/>
  <c r="G51" i="32"/>
  <c r="G50" i="32"/>
  <c r="G49" i="32"/>
  <c r="J49" i="32" s="1"/>
  <c r="L49" i="32" s="1"/>
  <c r="L33" i="32" s="1"/>
  <c r="J33" i="32" s="1"/>
  <c r="G33" i="32" s="1"/>
  <c r="G47" i="32"/>
  <c r="J58" i="32" l="1"/>
  <c r="L58" i="32" s="1"/>
  <c r="L42" i="32" s="1"/>
  <c r="J42" i="32" s="1"/>
  <c r="L54" i="4"/>
  <c r="J57" i="32"/>
  <c r="I88" i="4"/>
  <c r="L38" i="4" l="1"/>
  <c r="J38" i="4" s="1"/>
  <c r="G38" i="4" s="1"/>
  <c r="J54" i="4"/>
  <c r="G54" i="4" s="1"/>
  <c r="F14" i="32"/>
  <c r="I26" i="33"/>
  <c r="F26" i="33"/>
  <c r="D91" i="4"/>
  <c r="I26" i="4"/>
  <c r="F26" i="4"/>
  <c r="F24" i="32"/>
  <c r="I57" i="33"/>
  <c r="H57" i="33"/>
  <c r="K57" i="33"/>
  <c r="L41" i="33"/>
  <c r="J41" i="33" s="1"/>
  <c r="G41" i="33" s="1"/>
  <c r="M57" i="33"/>
  <c r="G26" i="33" l="1"/>
  <c r="G26" i="4"/>
  <c r="K27" i="33"/>
  <c r="K27" i="4"/>
  <c r="K25" i="32"/>
  <c r="H41" i="32"/>
  <c r="I41" i="32"/>
  <c r="K41" i="32"/>
  <c r="M41" i="32"/>
  <c r="F37" i="32"/>
  <c r="H37" i="32"/>
  <c r="I37" i="32"/>
  <c r="K37" i="32"/>
  <c r="M37" i="32"/>
  <c r="J55" i="33"/>
  <c r="J53" i="32"/>
  <c r="L53" i="32" s="1"/>
  <c r="L37" i="32" s="1"/>
  <c r="J60" i="33"/>
  <c r="L60" i="33" s="1"/>
  <c r="L44" i="33" s="1"/>
  <c r="J44" i="33" s="1"/>
  <c r="L57" i="32"/>
  <c r="L41" i="32" s="1"/>
  <c r="J41" i="32" s="1"/>
  <c r="F67" i="37"/>
  <c r="J49" i="37" s="1"/>
  <c r="E67" i="37"/>
  <c r="F66" i="37"/>
  <c r="J32" i="37" s="1"/>
  <c r="E66" i="37"/>
  <c r="F65" i="37"/>
  <c r="G65" i="37" s="1"/>
  <c r="E65" i="37"/>
  <c r="H54" i="37"/>
  <c r="H53" i="37"/>
  <c r="H52" i="37"/>
  <c r="H51" i="37"/>
  <c r="H50" i="37"/>
  <c r="H37" i="37"/>
  <c r="H36" i="37"/>
  <c r="H35" i="37"/>
  <c r="H34" i="37"/>
  <c r="H33" i="37"/>
  <c r="H19" i="37"/>
  <c r="I19" i="37" s="1"/>
  <c r="H18" i="37"/>
  <c r="I18" i="37" s="1"/>
  <c r="H17" i="37"/>
  <c r="I17" i="37" s="1"/>
  <c r="H16" i="37"/>
  <c r="I16" i="37" s="1"/>
  <c r="H15" i="37"/>
  <c r="I15" i="37" s="1"/>
  <c r="H18" i="1"/>
  <c r="H17" i="1"/>
  <c r="H16" i="1"/>
  <c r="H14" i="1"/>
  <c r="F18" i="1"/>
  <c r="F17" i="1"/>
  <c r="F16" i="1"/>
  <c r="F14" i="1"/>
  <c r="I37" i="37" l="1"/>
  <c r="L16" i="37"/>
  <c r="M16" i="37" s="1"/>
  <c r="N16" i="37" s="1"/>
  <c r="I52" i="37"/>
  <c r="I53" i="37"/>
  <c r="I51" i="37"/>
  <c r="I54" i="37"/>
  <c r="I34" i="37"/>
  <c r="I50" i="37"/>
  <c r="I35" i="37"/>
  <c r="I33" i="37"/>
  <c r="G67" i="37"/>
  <c r="G66" i="37"/>
  <c r="L55" i="33"/>
  <c r="L39" i="33" s="1"/>
  <c r="J39" i="33"/>
  <c r="J37" i="32"/>
  <c r="I14" i="37"/>
  <c r="I36" i="37"/>
  <c r="G19" i="1"/>
  <c r="H19" i="1" s="1"/>
  <c r="E19" i="1"/>
  <c r="F19" i="1" s="1"/>
  <c r="F34" i="1"/>
  <c r="D18" i="1"/>
  <c r="D16" i="1"/>
  <c r="D14" i="1"/>
  <c r="G74" i="33"/>
  <c r="L61" i="33"/>
  <c r="J58" i="33"/>
  <c r="L58" i="33" s="1"/>
  <c r="J53" i="33"/>
  <c r="L53" i="33" s="1"/>
  <c r="L37" i="33" s="1"/>
  <c r="J37" i="33" s="1"/>
  <c r="G37" i="33" s="1"/>
  <c r="J52" i="33"/>
  <c r="L52" i="33" s="1"/>
  <c r="L36" i="33" s="1"/>
  <c r="J36" i="33" s="1"/>
  <c r="G36" i="33" s="1"/>
  <c r="J50" i="33"/>
  <c r="L50" i="33" s="1"/>
  <c r="L34" i="33" s="1"/>
  <c r="J34" i="33" s="1"/>
  <c r="G34" i="33" s="1"/>
  <c r="J49" i="33"/>
  <c r="L49" i="33" s="1"/>
  <c r="L33" i="33" s="1"/>
  <c r="J33" i="33" s="1"/>
  <c r="F33" i="33" s="1"/>
  <c r="G18" i="4"/>
  <c r="G72" i="32"/>
  <c r="J72" i="32" s="1"/>
  <c r="J59" i="32" s="1"/>
  <c r="J56" i="32"/>
  <c r="L56" i="32" s="1"/>
  <c r="J55" i="32"/>
  <c r="J54" i="32"/>
  <c r="L54" i="32" s="1"/>
  <c r="L38" i="32" s="1"/>
  <c r="J51" i="32"/>
  <c r="L51" i="32" s="1"/>
  <c r="L35" i="32" s="1"/>
  <c r="J35" i="32" s="1"/>
  <c r="J50" i="32"/>
  <c r="L50" i="32" s="1"/>
  <c r="L34" i="32" s="1"/>
  <c r="J34" i="32" s="1"/>
  <c r="G34" i="32" s="1"/>
  <c r="G48" i="32"/>
  <c r="J48" i="32" s="1"/>
  <c r="L48" i="32" s="1"/>
  <c r="L32" i="32" s="1"/>
  <c r="J32" i="32" s="1"/>
  <c r="J47" i="32"/>
  <c r="L47" i="32" s="1"/>
  <c r="F43" i="32"/>
  <c r="L39" i="32"/>
  <c r="J39" i="32" s="1"/>
  <c r="F39" i="32"/>
  <c r="F38" i="32"/>
  <c r="F35" i="32"/>
  <c r="F32" i="32"/>
  <c r="G31" i="32"/>
  <c r="I31" i="33"/>
  <c r="I30" i="33"/>
  <c r="I29" i="33"/>
  <c r="I28" i="33"/>
  <c r="I27" i="33"/>
  <c r="G22" i="33"/>
  <c r="F21" i="33"/>
  <c r="G20" i="33"/>
  <c r="F18" i="33"/>
  <c r="G17" i="33"/>
  <c r="G16" i="33"/>
  <c r="I16" i="33" s="1"/>
  <c r="K16" i="33" s="1"/>
  <c r="F15" i="33"/>
  <c r="F14" i="33" s="1"/>
  <c r="I31" i="4"/>
  <c r="I30" i="4"/>
  <c r="I29" i="4"/>
  <c r="I28" i="4"/>
  <c r="I27" i="4"/>
  <c r="G22" i="4"/>
  <c r="F21" i="4"/>
  <c r="G20" i="4"/>
  <c r="F18" i="4"/>
  <c r="G17" i="4"/>
  <c r="G16" i="4"/>
  <c r="F15" i="4"/>
  <c r="F14" i="4" s="1"/>
  <c r="I29" i="32"/>
  <c r="I28" i="32"/>
  <c r="I27" i="32"/>
  <c r="I26" i="32"/>
  <c r="I25" i="32"/>
  <c r="I24" i="32"/>
  <c r="G24" i="32" s="1"/>
  <c r="G20" i="32"/>
  <c r="F19" i="32"/>
  <c r="G18" i="32"/>
  <c r="F16" i="32"/>
  <c r="G15" i="32"/>
  <c r="G14" i="32"/>
  <c r="I14" i="32" s="1"/>
  <c r="K14" i="32" s="1"/>
  <c r="F13" i="32"/>
  <c r="F12" i="32" s="1"/>
  <c r="G12" i="32" s="1"/>
  <c r="F45" i="1"/>
  <c r="D45" i="1"/>
  <c r="F44" i="1"/>
  <c r="D44" i="1"/>
  <c r="B30" i="1"/>
  <c r="G15" i="33"/>
  <c r="G15" i="4"/>
  <c r="D93" i="33"/>
  <c r="G13" i="32"/>
  <c r="G18" i="33"/>
  <c r="L18" i="37" l="1"/>
  <c r="M18" i="37" s="1"/>
  <c r="N18" i="37" s="1"/>
  <c r="I65" i="37"/>
  <c r="H65" i="37" s="1"/>
  <c r="L19" i="37"/>
  <c r="M19" i="37" s="1"/>
  <c r="N19" i="37" s="1"/>
  <c r="L15" i="37"/>
  <c r="M15" i="37" s="1"/>
  <c r="N15" i="37" s="1"/>
  <c r="L17" i="37"/>
  <c r="M17" i="37" s="1"/>
  <c r="N17" i="37" s="1"/>
  <c r="I49" i="37"/>
  <c r="L54" i="33"/>
  <c r="J54" i="33" s="1"/>
  <c r="G54" i="33" s="1"/>
  <c r="I32" i="37"/>
  <c r="J39" i="4"/>
  <c r="G16" i="32"/>
  <c r="I16" i="32" s="1"/>
  <c r="K16" i="32" s="1"/>
  <c r="J74" i="33"/>
  <c r="J61" i="33" s="1"/>
  <c r="G45" i="33"/>
  <c r="L42" i="33"/>
  <c r="J42" i="33" s="1"/>
  <c r="G42" i="33" s="1"/>
  <c r="L40" i="32"/>
  <c r="J40" i="32" s="1"/>
  <c r="G40" i="32" s="1"/>
  <c r="I13" i="32"/>
  <c r="K13" i="32" s="1"/>
  <c r="G32" i="32"/>
  <c r="D88" i="32"/>
  <c r="I15" i="4"/>
  <c r="K15" i="4" s="1"/>
  <c r="D85" i="4" s="1"/>
  <c r="I20" i="4"/>
  <c r="K20" i="4" s="1"/>
  <c r="J56" i="33"/>
  <c r="L56" i="33" s="1"/>
  <c r="L40" i="33" s="1"/>
  <c r="J40" i="33" s="1"/>
  <c r="G40" i="33" s="1"/>
  <c r="D34" i="1"/>
  <c r="D49" i="1" s="1"/>
  <c r="G35" i="32"/>
  <c r="I16" i="4"/>
  <c r="K16" i="4" s="1"/>
  <c r="D86" i="4" s="1"/>
  <c r="I86" i="4" s="1"/>
  <c r="I18" i="32"/>
  <c r="K18" i="32" s="1"/>
  <c r="I20" i="32"/>
  <c r="K20" i="32" s="1"/>
  <c r="D86" i="32" s="1"/>
  <c r="D83" i="32"/>
  <c r="I83" i="32" s="1"/>
  <c r="I15" i="33"/>
  <c r="K15" i="33" s="1"/>
  <c r="I18" i="4"/>
  <c r="K18" i="4" s="1"/>
  <c r="G55" i="32"/>
  <c r="I18" i="33"/>
  <c r="K18" i="33" s="1"/>
  <c r="I17" i="4"/>
  <c r="K17" i="4" s="1"/>
  <c r="D87" i="4" s="1"/>
  <c r="I87" i="4" s="1"/>
  <c r="G39" i="32"/>
  <c r="F49" i="1"/>
  <c r="I15" i="32"/>
  <c r="K15" i="32" s="1"/>
  <c r="D84" i="32" s="1"/>
  <c r="I22" i="33"/>
  <c r="K22" i="33" s="1"/>
  <c r="D89" i="33" s="1"/>
  <c r="L31" i="32"/>
  <c r="J31" i="32" s="1"/>
  <c r="F31" i="32" s="1"/>
  <c r="J38" i="32"/>
  <c r="G38" i="32" s="1"/>
  <c r="D89" i="32"/>
  <c r="L72" i="32"/>
  <c r="L59" i="32" s="1"/>
  <c r="L52" i="32" s="1"/>
  <c r="L46" i="32" s="1"/>
  <c r="L30" i="32" s="1"/>
  <c r="D88" i="33"/>
  <c r="I17" i="33"/>
  <c r="K17" i="33" s="1"/>
  <c r="D87" i="33" s="1"/>
  <c r="D85" i="32"/>
  <c r="D82" i="32"/>
  <c r="I20" i="33"/>
  <c r="K20" i="33" s="1"/>
  <c r="D86" i="33"/>
  <c r="I22" i="4"/>
  <c r="K22" i="4" s="1"/>
  <c r="D89" i="4" s="1"/>
  <c r="G43" i="32"/>
  <c r="K34" i="37" l="1"/>
  <c r="K35" i="37"/>
  <c r="K36" i="37"/>
  <c r="K37" i="37"/>
  <c r="I67" i="37"/>
  <c r="H67" i="37" s="1"/>
  <c r="I66" i="37"/>
  <c r="H66" i="37" s="1"/>
  <c r="I14" i="4"/>
  <c r="G14" i="4" s="1"/>
  <c r="I85" i="4"/>
  <c r="D92" i="33"/>
  <c r="I86" i="33"/>
  <c r="I82" i="32"/>
  <c r="I88" i="33"/>
  <c r="I87" i="33"/>
  <c r="C19" i="1"/>
  <c r="L43" i="32"/>
  <c r="J43" i="32" s="1"/>
  <c r="D90" i="32"/>
  <c r="I85" i="32"/>
  <c r="I84" i="32"/>
  <c r="K25" i="33" l="1"/>
  <c r="I25" i="33" s="1"/>
  <c r="K25" i="4"/>
  <c r="I25" i="4" s="1"/>
  <c r="I14" i="33"/>
  <c r="G14" i="33" s="1"/>
  <c r="D85" i="33"/>
  <c r="I85" i="33" s="1"/>
  <c r="I95" i="33" s="1"/>
  <c r="D19" i="1"/>
  <c r="C17" i="1"/>
  <c r="I92" i="32"/>
  <c r="I95" i="4"/>
  <c r="D94" i="33" l="1"/>
  <c r="K13" i="4"/>
  <c r="D17" i="1"/>
  <c r="K12" i="1" l="1"/>
  <c r="L36" i="32"/>
  <c r="J36" i="32" s="1"/>
  <c r="G36" i="32" s="1"/>
  <c r="J46" i="32"/>
  <c r="J52" i="32"/>
  <c r="G52" i="32" s="1"/>
  <c r="G19" i="32" s="1"/>
  <c r="I19" i="32" s="1"/>
  <c r="K19" i="32" s="1"/>
  <c r="D15" i="1" l="1"/>
  <c r="C13" i="1"/>
  <c r="C12" i="1" s="1"/>
  <c r="D12" i="1" s="1"/>
  <c r="J30" i="32"/>
  <c r="J74" i="32" s="1"/>
  <c r="D87" i="32"/>
  <c r="D13" i="1" l="1"/>
  <c r="L74" i="32" l="1"/>
  <c r="G21" i="4" l="1"/>
  <c r="I21" i="4" s="1"/>
  <c r="K21" i="4" s="1"/>
  <c r="I13" i="4" l="1"/>
  <c r="I76" i="4" s="1"/>
  <c r="K76" i="4"/>
  <c r="L48" i="4"/>
  <c r="L32" i="4" l="1"/>
  <c r="J32" i="4" s="1"/>
  <c r="D90" i="4"/>
  <c r="E11" i="1"/>
  <c r="J48" i="4"/>
  <c r="D94" i="4" l="1"/>
  <c r="D95" i="4" s="1"/>
  <c r="G90" i="4" s="1"/>
  <c r="F11" i="1"/>
  <c r="J76" i="4" l="1"/>
  <c r="G88" i="4"/>
  <c r="G87" i="4"/>
  <c r="G91" i="4"/>
  <c r="J95" i="4"/>
  <c r="G93" i="4"/>
  <c r="G89" i="4"/>
  <c r="G85" i="4"/>
  <c r="G92" i="4"/>
  <c r="G86" i="4"/>
  <c r="G94" i="4"/>
  <c r="G95" i="4" l="1"/>
  <c r="F33" i="1" l="1"/>
  <c r="L12" i="1"/>
  <c r="F15" i="1" l="1"/>
  <c r="E13" i="1"/>
  <c r="F36" i="1"/>
  <c r="F48" i="1"/>
  <c r="G57" i="4"/>
  <c r="G21" i="33"/>
  <c r="I21" i="33" s="1"/>
  <c r="K21" i="33" s="1"/>
  <c r="K13" i="33" s="1"/>
  <c r="E12" i="1" l="1"/>
  <c r="F13" i="1"/>
  <c r="L38" i="33"/>
  <c r="L48" i="33"/>
  <c r="L32" i="33" s="1"/>
  <c r="J32" i="33" s="1"/>
  <c r="K76" i="33"/>
  <c r="L77" i="33" s="1"/>
  <c r="M77" i="33" s="1"/>
  <c r="I13" i="33"/>
  <c r="I76" i="33" s="1"/>
  <c r="L76" i="4" l="1"/>
  <c r="F12" i="1"/>
  <c r="F10" i="1" s="1"/>
  <c r="F37" i="1" s="1"/>
  <c r="E10" i="1"/>
  <c r="G11" i="1"/>
  <c r="J48" i="33"/>
  <c r="D90" i="33"/>
  <c r="J38" i="33"/>
  <c r="G38" i="33" s="1"/>
  <c r="M32" i="4" l="1"/>
  <c r="N76" i="4"/>
  <c r="M13" i="4"/>
  <c r="M61" i="4"/>
  <c r="M27" i="4"/>
  <c r="M48" i="4"/>
  <c r="L86" i="4"/>
  <c r="H11" i="1"/>
  <c r="D95" i="33"/>
  <c r="G90" i="33" s="1"/>
  <c r="J76" i="33"/>
  <c r="M76" i="4" l="1"/>
  <c r="G93" i="33"/>
  <c r="G86" i="33"/>
  <c r="G91" i="33"/>
  <c r="G89" i="33"/>
  <c r="J95" i="33"/>
  <c r="G92" i="33"/>
  <c r="G94" i="33"/>
  <c r="G85" i="33"/>
  <c r="G88" i="33"/>
  <c r="G87" i="33"/>
  <c r="G95" i="33" l="1"/>
  <c r="H15" i="1" l="1"/>
  <c r="G13" i="1"/>
  <c r="G12" i="1" l="1"/>
  <c r="H13" i="1"/>
  <c r="L76" i="33" l="1"/>
  <c r="H12" i="1"/>
  <c r="H10" i="1" s="1"/>
  <c r="G10" i="1"/>
  <c r="M32" i="33" l="1"/>
  <c r="M27" i="33"/>
  <c r="M13" i="33"/>
  <c r="M61" i="33"/>
  <c r="N76" i="33"/>
  <c r="M48" i="33"/>
  <c r="L86" i="33"/>
  <c r="M76" i="33" l="1"/>
  <c r="K23" i="32" l="1"/>
  <c r="K11" i="32" s="1"/>
  <c r="I11" i="32" l="1"/>
  <c r="I74" i="32" s="1"/>
  <c r="K74" i="32"/>
  <c r="D91" i="32"/>
  <c r="I23" i="32"/>
  <c r="D92" i="32" l="1"/>
  <c r="G91" i="32" s="1"/>
  <c r="N74" i="32"/>
  <c r="M25" i="32"/>
  <c r="M59" i="32"/>
  <c r="M46" i="32"/>
  <c r="M30" i="32"/>
  <c r="C11" i="1"/>
  <c r="M11" i="32"/>
  <c r="M74" i="32" l="1"/>
  <c r="C10" i="1"/>
  <c r="D11" i="1"/>
  <c r="G89" i="32"/>
  <c r="G84" i="32"/>
  <c r="G87" i="32"/>
  <c r="G83" i="32"/>
  <c r="G86" i="32"/>
  <c r="G88" i="32"/>
  <c r="J92" i="32"/>
  <c r="G85" i="32"/>
  <c r="G90" i="32"/>
  <c r="G82" i="32"/>
  <c r="G92" i="32" l="1"/>
  <c r="D10" i="1"/>
  <c r="D33" i="1"/>
  <c r="D48" i="1" l="1"/>
  <c r="D36" i="1"/>
  <c r="D37" i="1" s="1"/>
</calcChain>
</file>

<file path=xl/comments1.xml><?xml version="1.0" encoding="utf-8"?>
<comments xmlns="http://schemas.openxmlformats.org/spreadsheetml/2006/main">
  <authors>
    <author>С.Д. Никитина</author>
  </authors>
  <commentList>
    <comment ref="K29" authorId="0">
      <text>
        <r>
          <rPr>
            <b/>
            <sz val="9"/>
            <color indexed="81"/>
            <rFont val="Tahoma"/>
            <family val="2"/>
            <charset val="204"/>
          </rPr>
          <t>С.Д. Никитина:</t>
        </r>
        <r>
          <rPr>
            <sz val="9"/>
            <color indexed="81"/>
            <rFont val="Tahoma"/>
            <family val="2"/>
            <charset val="204"/>
          </rPr>
          <t xml:space="preserve">
данные только ДД Муксунова</t>
        </r>
      </text>
    </comment>
  </commentList>
</comments>
</file>

<file path=xl/comments2.xml><?xml version="1.0" encoding="utf-8"?>
<comments xmlns="http://schemas.openxmlformats.org/spreadsheetml/2006/main">
  <authors>
    <author>С.Д. Никитина</author>
    <author>maksimova</author>
  </authors>
  <commentList>
    <comment ref="K31" authorId="0">
      <text>
        <r>
          <rPr>
            <b/>
            <sz val="9"/>
            <color indexed="81"/>
            <rFont val="Tahoma"/>
            <family val="2"/>
            <charset val="204"/>
          </rPr>
          <t>С.Д. Никитина:</t>
        </r>
        <r>
          <rPr>
            <sz val="9"/>
            <color indexed="81"/>
            <rFont val="Tahoma"/>
            <family val="2"/>
            <charset val="204"/>
          </rPr>
          <t xml:space="preserve">
данные только ДД Муксунова</t>
        </r>
      </text>
    </comment>
    <comment ref="L74" authorId="1">
      <text>
        <r>
          <rPr>
            <b/>
            <sz val="9"/>
            <color indexed="81"/>
            <rFont val="Tahoma"/>
            <family val="2"/>
            <charset val="204"/>
          </rPr>
          <t>maksimova:</t>
        </r>
        <r>
          <rPr>
            <sz val="9"/>
            <color indexed="81"/>
            <rFont val="Tahoma"/>
            <family val="2"/>
            <charset val="204"/>
          </rPr>
          <t xml:space="preserve">
по данным МФ</t>
        </r>
      </text>
    </comment>
  </commentList>
</comments>
</file>

<file path=xl/comments3.xml><?xml version="1.0" encoding="utf-8"?>
<comments xmlns="http://schemas.openxmlformats.org/spreadsheetml/2006/main">
  <authors>
    <author>С.Д. Никитина</author>
    <author>maksimova</author>
  </authors>
  <commentList>
    <comment ref="K31" authorId="0">
      <text>
        <r>
          <rPr>
            <b/>
            <sz val="9"/>
            <color indexed="81"/>
            <rFont val="Tahoma"/>
            <family val="2"/>
            <charset val="204"/>
          </rPr>
          <t>С.Д. Никитина:</t>
        </r>
        <r>
          <rPr>
            <sz val="9"/>
            <color indexed="81"/>
            <rFont val="Tahoma"/>
            <family val="2"/>
            <charset val="204"/>
          </rPr>
          <t xml:space="preserve">
данные только ДД Муксунова</t>
        </r>
      </text>
    </comment>
    <comment ref="L74" authorId="1">
      <text>
        <r>
          <rPr>
            <b/>
            <sz val="9"/>
            <color indexed="81"/>
            <rFont val="Tahoma"/>
            <family val="2"/>
            <charset val="204"/>
          </rPr>
          <t>maksimova:</t>
        </r>
        <r>
          <rPr>
            <sz val="9"/>
            <color indexed="81"/>
            <rFont val="Tahoma"/>
            <family val="2"/>
            <charset val="204"/>
          </rPr>
          <t xml:space="preserve">
по данным МФ</t>
        </r>
      </text>
    </comment>
  </commentList>
</comments>
</file>

<file path=xl/sharedStrings.xml><?xml version="1.0" encoding="utf-8"?>
<sst xmlns="http://schemas.openxmlformats.org/spreadsheetml/2006/main" count="1492" uniqueCount="350">
  <si>
    <t xml:space="preserve">по условиям ее оказания в Республике Саха (Якутия) на 2020  год </t>
  </si>
  <si>
    <t>2020 год</t>
  </si>
  <si>
    <t>Приложение № 8                                                                                             
к Программе государственных гарантий бесплатного оказания 
гражданам медицинской помощи в Республике Саха (Якутия) 
на 2018 год и на плановый период 2019 и 2020 годов</t>
  </si>
  <si>
    <t>Стоимость Программы</t>
  </si>
  <si>
    <t>государственных гарантий бесплатного оказания гражданам медицинской помощи в Республике Саха (Якутия)</t>
  </si>
  <si>
    <t>Источники финансового обеспечения территориальной программы государственных гарантий бесплатного оказания гражданам медицинской помощи</t>
  </si>
  <si>
    <t>2019 год</t>
  </si>
  <si>
    <t>всего (тыс. руб.)</t>
  </si>
  <si>
    <t>на 1 жителя 
(1 застрахованное лицо) в год (руб.)</t>
  </si>
  <si>
    <t>Стоимость территориальной программы государственных гарантий всего (сумма строк 02 + 03)
в том числе:</t>
  </si>
  <si>
    <t>01</t>
  </si>
  <si>
    <t>I. Средства консолидированного бюджета субъекта Российской Федерации *</t>
  </si>
  <si>
    <t>02</t>
  </si>
  <si>
    <t>II. Стоимость территориальной программы ОМС всего
(сумма строк 04 + 10)</t>
  </si>
  <si>
    <t>03</t>
  </si>
  <si>
    <t>04</t>
  </si>
  <si>
    <t>1.1. субвенции из бюджета ФОМС **</t>
  </si>
  <si>
    <t>05</t>
  </si>
  <si>
    <t>06</t>
  </si>
  <si>
    <t>07</t>
  </si>
  <si>
    <t>08</t>
  </si>
  <si>
    <t>1.3. прочие поступления</t>
  </si>
  <si>
    <t>09</t>
  </si>
  <si>
    <t>10</t>
  </si>
  <si>
    <t>Справочно</t>
  </si>
  <si>
    <t>Расходы на обеспечение выполнения ТФОМС своих функций</t>
  </si>
  <si>
    <t>_____________________________</t>
  </si>
  <si>
    <t xml:space="preserve">Жителей </t>
  </si>
  <si>
    <t xml:space="preserve">Застрахованных </t>
  </si>
  <si>
    <t>Стоимость территориальной программы государственных гарантий</t>
  </si>
  <si>
    <t xml:space="preserve">бесплатного оказания гражданам  медицинской помощи и объемы медицинской помощи </t>
  </si>
  <si>
    <t>№ строки</t>
  </si>
  <si>
    <t>Единица измерения</t>
  </si>
  <si>
    <t>Объем медицинской помощи в расчете на 1 жителя (норматив объемов предоставления медицинской помощи в расчете на 1 застрахованное лицо)</t>
  </si>
  <si>
    <t>Стоимость единицы объема медицинской помощи (норматив финансовых затрат на единицу объема предоставления медицинской помощи)</t>
  </si>
  <si>
    <t>РК</t>
  </si>
  <si>
    <t>Подушевые нормативы финансирования территориальной программы</t>
  </si>
  <si>
    <t>Стоимость территориальной программы по источникам ее финансового обеспечения</t>
  </si>
  <si>
    <t>руб.</t>
  </si>
  <si>
    <t>тыс. руб.</t>
  </si>
  <si>
    <t>в %
к итогу</t>
  </si>
  <si>
    <t>за счет средств консолидиро-ванного бюджета субъекта РФ</t>
  </si>
  <si>
    <t>за счет средств ОМС</t>
  </si>
  <si>
    <t>средства ОМС</t>
  </si>
  <si>
    <r>
      <t xml:space="preserve">I. Медицинская помощь, предоставляемая за счет консолидированного бюджета субъекта Российской Федерации
</t>
    </r>
    <r>
      <rPr>
        <sz val="10"/>
        <rFont val="Times New Roman"/>
        <family val="1"/>
        <charset val="204"/>
      </rPr>
      <t>в том числе *:</t>
    </r>
  </si>
  <si>
    <t>Х</t>
  </si>
  <si>
    <t>Жителей</t>
  </si>
  <si>
    <t>1. скорая, в том числе скорая специализированная медицинская помощь, не включенная с территориальную программу ОМС, в том числе</t>
  </si>
  <si>
    <t>вызов</t>
  </si>
  <si>
    <t>не идентифицированным и не застрахованным в системе ОМС лицам</t>
  </si>
  <si>
    <t>2. медицинская помощь в амбулаторных условиях, в том числе</t>
  </si>
  <si>
    <t xml:space="preserve">посещение с профилактическими и иными целями </t>
  </si>
  <si>
    <t>обращение</t>
  </si>
  <si>
    <t>3. специализированная медицинская помощь в стационарных условиях, в том числе</t>
  </si>
  <si>
    <t>случай госпитализации</t>
  </si>
  <si>
    <t>4. медицинская помощь в условиях дневного стационара, в том числе</t>
  </si>
  <si>
    <t>случай лечения</t>
  </si>
  <si>
    <t>11</t>
  </si>
  <si>
    <t>5. паллиативная медицинская помощь</t>
  </si>
  <si>
    <t>12</t>
  </si>
  <si>
    <t>койко-день</t>
  </si>
  <si>
    <t xml:space="preserve">6. иные государственные и муниципальные услуги (работы) </t>
  </si>
  <si>
    <t>13</t>
  </si>
  <si>
    <t>-</t>
  </si>
  <si>
    <t>7.  высокотехнологичная медицинская помощь, оказываемая в медицинских организациях субъекта РФ</t>
  </si>
  <si>
    <t>14</t>
  </si>
  <si>
    <r>
      <t xml:space="preserve">II. Средства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ОМС**, </t>
    </r>
    <r>
      <rPr>
        <sz val="10"/>
        <rFont val="Times New Roman"/>
        <family val="1"/>
        <charset val="204"/>
      </rPr>
      <t>в том числе на приобретение:</t>
    </r>
  </si>
  <si>
    <t>15</t>
  </si>
  <si>
    <t>- санитарного транспорта</t>
  </si>
  <si>
    <t>16</t>
  </si>
  <si>
    <t>- КТ</t>
  </si>
  <si>
    <t>17</t>
  </si>
  <si>
    <t>- МРТ</t>
  </si>
  <si>
    <t>18</t>
  </si>
  <si>
    <t>-  иного медицинского оборудования</t>
  </si>
  <si>
    <t>19</t>
  </si>
  <si>
    <t>III. Медицинская помощь в рамках территориальной программы ОМС:</t>
  </si>
  <si>
    <t>20</t>
  </si>
  <si>
    <t>- скорая медицинская помощь (сумма строк 28+33)</t>
  </si>
  <si>
    <t>21</t>
  </si>
  <si>
    <t>сумма строк</t>
  </si>
  <si>
    <t>29.1+34.1</t>
  </si>
  <si>
    <t>22.1</t>
  </si>
  <si>
    <t>посещение  с профилактической и иными целями</t>
  </si>
  <si>
    <t>29.2+34.2</t>
  </si>
  <si>
    <t>22.2</t>
  </si>
  <si>
    <t>посещение по неотложной медицинской помощи</t>
  </si>
  <si>
    <t>29.3+34.3</t>
  </si>
  <si>
    <t>22.3</t>
  </si>
  <si>
    <t>23</t>
  </si>
  <si>
    <t>23.1</t>
  </si>
  <si>
    <t>23.2</t>
  </si>
  <si>
    <t>24</t>
  </si>
  <si>
    <t>- паллиативная медицинская помощь</t>
  </si>
  <si>
    <t>25</t>
  </si>
  <si>
    <t>26</t>
  </si>
  <si>
    <t>из строки 20:
1. Медицинская помощь, предоставляемая в рамках базовой программы ОМС застрахованным лицам</t>
  </si>
  <si>
    <t>27</t>
  </si>
  <si>
    <t>- скорая медицинская помощь</t>
  </si>
  <si>
    <t>28</t>
  </si>
  <si>
    <t>- в амбулаторных условиях</t>
  </si>
  <si>
    <t>30.1</t>
  </si>
  <si>
    <t>30.2</t>
  </si>
  <si>
    <t>- в дневных стационарах</t>
  </si>
  <si>
    <t>31</t>
  </si>
  <si>
    <t>2. Медицинская помощь по видам и заболеваниям сверх базовой программы ОМС:</t>
  </si>
  <si>
    <t>32</t>
  </si>
  <si>
    <t>33</t>
  </si>
  <si>
    <t>35.1</t>
  </si>
  <si>
    <t>35.2</t>
  </si>
  <si>
    <t>36</t>
  </si>
  <si>
    <t>37</t>
  </si>
  <si>
    <t>ИТОГО (сумма строк 01 + 15 + 20)</t>
  </si>
  <si>
    <t>38</t>
  </si>
  <si>
    <t>__________________________________</t>
  </si>
  <si>
    <t>Виды мед помощи</t>
  </si>
  <si>
    <t>Сумма, тыс.рублей</t>
  </si>
  <si>
    <t>Доли расходов</t>
  </si>
  <si>
    <t>Первичная медико-санитарная помощь</t>
  </si>
  <si>
    <t>Скорая мед помощь</t>
  </si>
  <si>
    <t>АПП с проф целью</t>
  </si>
  <si>
    <t>АПП по поводу заболеваний</t>
  </si>
  <si>
    <t>АПП в неотложной форме</t>
  </si>
  <si>
    <t>Стационаро-замещающая помощь</t>
  </si>
  <si>
    <t>Стационарная мед. Помощь в том числе</t>
  </si>
  <si>
    <t xml:space="preserve"> ВМП</t>
  </si>
  <si>
    <t xml:space="preserve"> реабилитация</t>
  </si>
  <si>
    <t>Паллиативная мед помощь</t>
  </si>
  <si>
    <t>Иные расходы</t>
  </si>
  <si>
    <t>Итого</t>
  </si>
  <si>
    <t>- в амбу-латорных условиях</t>
  </si>
  <si>
    <t xml:space="preserve">по условиям ее оказания в Республике Саха (Якутия) на 2019  год </t>
  </si>
  <si>
    <t xml:space="preserve">по условиям ее оказания в Республике Саха (Якутия) на 2021 год </t>
  </si>
  <si>
    <t>2021 год</t>
  </si>
  <si>
    <t>Приложение № 6                                                                                           
к Программе государственных гарантий бесплатного оказания 
гражданам медицинской помощи в Республике Саха (Якутия) 
на 2019 год и на плановый период 2020 и 2021 годов</t>
  </si>
  <si>
    <t>на 2019 год и на плановый период 2020 и 2021 годов по источникам финансового обеспечения</t>
  </si>
  <si>
    <t xml:space="preserve">по условиям ее оказания в Республике Саха (Якутия) на 2021  год </t>
  </si>
  <si>
    <t>Подушевой норматив</t>
  </si>
  <si>
    <t>норматив РФ</t>
  </si>
  <si>
    <t>с учетом РК</t>
  </si>
  <si>
    <t>количество жителей</t>
  </si>
  <si>
    <t>Всего  расчетная по нормативу, тыс. рублей.</t>
  </si>
  <si>
    <t>Нормативная стоимость</t>
  </si>
  <si>
    <t>Прочие услуги и работы</t>
  </si>
  <si>
    <t>31.1</t>
  </si>
  <si>
    <t>24.1</t>
  </si>
  <si>
    <t>2. медицинская помощь в амбулаторных условиях</t>
  </si>
  <si>
    <t>3. специализированная медицинская помощь в стационарных условиях</t>
  </si>
  <si>
    <t>4. медицинская помощь в условиях дневного стационара</t>
  </si>
  <si>
    <t>Приложение № 9                                                                                             
к Программе государственных гарантий бесплатного оказания 
гражданам медицинской помощи в Республике Саха (Якутия) 
на 2019 год и на плановый период 2020 и 2021 годов</t>
  </si>
  <si>
    <t>Приложение № 7                                                                                             
к Программе государственных гарантий бесплатного оказания 
гражданам медицинской помощи в Республике Саха (Якутия) 
на 2019 год и на плановый период 2020 и 2021 годов</t>
  </si>
  <si>
    <t>Приложение № 8                                                                                       
к Программе государственных гарантий бесплатного оказания 
гражданам медицинской помощи в Республике Саха (Якутия) 
на 2019 год и на плановый период 2020 и 2021 годов</t>
  </si>
  <si>
    <t>24.2</t>
  </si>
  <si>
    <t xml:space="preserve">медицинская помощь по профилю "онкология" </t>
  </si>
  <si>
    <t>медицинская помощь при экстракорпоральном оплодотворении</t>
  </si>
  <si>
    <t>медицинская реабилитация в стационарных условиях</t>
  </si>
  <si>
    <t>30.1.1</t>
  </si>
  <si>
    <t>высокотехнологичная медицинская помощь</t>
  </si>
  <si>
    <t>31.2</t>
  </si>
  <si>
    <t>29.1.1+34.1.1</t>
  </si>
  <si>
    <t>22.1.1</t>
  </si>
  <si>
    <t>35.1.1</t>
  </si>
  <si>
    <t>36.1</t>
  </si>
  <si>
    <t>36.2</t>
  </si>
  <si>
    <t>медицинская помощь по профилю "онкология" (сумма строк 31.1+36.1)</t>
  </si>
  <si>
    <t>На софинансирование расходов медицинских организаций государственной системы здравоохранения и муниципальной сиситемы здравоохранения,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</si>
  <si>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в дополнение к установленной базовой программой ОМС, из них:</t>
  </si>
  <si>
    <t xml:space="preserve">2.1.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 </t>
  </si>
  <si>
    <t>* без учета бюджетных ассигнований федерального бюджета на оказание отдельным категориям граждан  государственной социальной помощи по обеспечению лекарственными препаратами, целевые программы, а также средств межбюджетных трансфертов (строки 06 и 10).</t>
  </si>
  <si>
    <t>всего (тыс.руб.)</t>
  </si>
  <si>
    <t>на 1 застрахованное лицо (руб.)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</si>
  <si>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+ 07)                                             
в том числе:</t>
  </si>
  <si>
    <r>
      <t>1.2.</t>
    </r>
    <r>
      <rPr>
        <i/>
        <strike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случае установления  дополнительного части базовой программы ОМС</t>
    </r>
  </si>
  <si>
    <t>посещение для проведения профилактических медицинских осмотров, включая диспансеризацию</t>
  </si>
  <si>
    <t>23.3</t>
  </si>
  <si>
    <t>медицинская реабилитация в стационарных условиях (сумма строк 31.2+36.2)</t>
  </si>
  <si>
    <t>высокотехнологичная медицинская помощь (сумма строк 31.3+36.3)</t>
  </si>
  <si>
    <t>медицинская помощь по профилю "онкология" (сумма строк 32.1+37.1)</t>
  </si>
  <si>
    <t>медицинская помощь при экстракорпоральном оплодотворении (сумма строк 32.2+37.2)</t>
  </si>
  <si>
    <t>- паллиативная медицинская помощь*** (равно строке 38)</t>
  </si>
  <si>
    <t>- затраты на ведение дела СМО</t>
  </si>
  <si>
    <t>- иные расходы (равно строке 39)</t>
  </si>
  <si>
    <t>29</t>
  </si>
  <si>
    <t>30.3</t>
  </si>
  <si>
    <t>31.2.1</t>
  </si>
  <si>
    <t>32.1</t>
  </si>
  <si>
    <t>32.2</t>
  </si>
  <si>
    <t>34</t>
  </si>
  <si>
    <t>35.3</t>
  </si>
  <si>
    <t>37.1</t>
  </si>
  <si>
    <t>37.2</t>
  </si>
  <si>
    <t>39</t>
  </si>
  <si>
    <t>- иные расходы</t>
  </si>
  <si>
    <t>40</t>
  </si>
  <si>
    <t>- специализированная медицинская помощь в стационарных условиях, в том числе:</t>
  </si>
  <si>
    <t>- специализированная медицинская помощь в стационарных условиях сумма (строк 31+36), в том числе:</t>
  </si>
  <si>
    <t>36.3</t>
  </si>
  <si>
    <t>- в дневных стационарах (сумма строк 32+37)</t>
  </si>
  <si>
    <t>* Без учета финансовых средств консолидированного бюджета субъекта Российской Федерации на приобретение оборудования для медицинских организаций, работающих в системе ОМС (затраты, не вошедшие в тариф).</t>
  </si>
  <si>
    <t xml:space="preserve"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тарифа на оплату медицинской помощи в рамках базовой программы обязательного медицинского страхования </t>
  </si>
  <si>
    <t>** без учета расходов на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"Общегосударственные вопросы" и расходов на мероприятия по ликвидации кадрового дефицита в медицинских орагнизациях, оказывающих первичную медико-санитарную помощь.</t>
  </si>
  <si>
    <r>
      <t xml:space="preserve">**  указываются расходы консолидированного бюджета субъекта Российской Федерации на приобретение медицинского оборудования для медицинских организаций, работающих в системе ОМС, сверх </t>
    </r>
    <r>
      <rPr>
        <b/>
        <sz val="10"/>
        <color indexed="17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территориальной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программы ОМС.</t>
    </r>
  </si>
  <si>
    <t>*** в случае включения паллиативной медицинской помощи в территориальную программу ОМС сверх базовой программы ОМС с соответствующими платежом субъекта РФ.</t>
  </si>
  <si>
    <t>________________________________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</si>
  <si>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</si>
  <si>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Реконструктивно-пластические операции по устранению обширных дефектов и деформаций мягких тканей, отдельных анатомических зон и (или) структур головы, лица и шеи</t>
  </si>
  <si>
    <t>ЧЕЛЮСТНО-ЛИЦЕВАЯ ХИРУРГИЯ</t>
  </si>
  <si>
    <t>Оперативные вмешательства на органах мочеполовой системы с использованием лапароскопической техники</t>
  </si>
  <si>
    <t>Оперативные вмешательства на органах мочеполовой системы с имплантацией синтетических сложных и сетчатых протезов</t>
  </si>
  <si>
    <t>УРОЛОГИЯ</t>
  </si>
  <si>
    <t>Трансплантация сердца</t>
  </si>
  <si>
    <t>Трансплантация печени</t>
  </si>
  <si>
    <t>Трансплантация почки</t>
  </si>
  <si>
    <t>ТРАНСПЛАНТАЦИЯ</t>
  </si>
  <si>
    <t>Реэндопротезирование суставов конечностей</t>
  </si>
  <si>
    <t>Эндопротезирование суставов конечностей у больных с системными заболеваниями соединительной ткани</t>
  </si>
  <si>
    <t>Эндопротезирование коленных, плечевых, локтевых и голеностопных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остеопорозе, в том числе с использованием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</si>
  <si>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</si>
  <si>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Пластика крупных суставов конечностей с восстановлением целост-ности внутрисуставных образований, замещением костно-хрящевых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</si>
  <si>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конечностей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</si>
  <si>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Реконструктивно-пластические операции при комбинированных дефектах и деформациях дистальных отделов конечностей с использо­ванием чрескостных аппаратов и прецизионной техники, а также с заме­щением мягкотканных и костных хрящевых дефектов синтетическими и биологическими материалами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</si>
  <si>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</si>
  <si>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 xml:space="preserve">                          ТРАВМАТОЛОГИЯ И ОРТОПЕДИЯ</t>
  </si>
  <si>
    <t>Расширенные и реконструктивно-пластические операции на органах грудной полости</t>
  </si>
  <si>
    <t>Видеоторакоскопические операции на органах грудной полости</t>
  </si>
  <si>
    <t>Эндоскопические и эндоваскулярные операции на органах грудной полости</t>
  </si>
  <si>
    <t>Реконструктивно-пластические операции на грудной стенке и диафрагме</t>
  </si>
  <si>
    <t>ТОРАКАЛЬНАЯ ХИРУРГИЯ</t>
  </si>
  <si>
    <t>Радикальная и гемодинамическая коррекция врожденных пороков перегородок, камер сердца и соединений магистральных сосудов у детей до 1 года</t>
  </si>
  <si>
    <t>Хирургическое лечение хронической сердечной недостаточности</t>
  </si>
  <si>
    <t>Хирургическое лечение врожденных, ревматических и неревматических пороков клапанов сердца, опухолей сердца</t>
  </si>
  <si>
    <t>Радикальная и гемодинамическая коррекция врожденных пороков перегородок, камер сердца и соединений магистральных сосудов</t>
  </si>
  <si>
    <t>Хирургическая и эндоваскулярная коррекция заболеваний магистральных артерий</t>
  </si>
  <si>
    <t>Эндоваскулярная, хирургическая коррекция нарушений ритма сердца без имплантации кардиовертера-дефибриллятора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</si>
  <si>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</si>
  <si>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СЕРДЕЧНО-СОСУДИСТАЯ ХИРУРГИЯ</t>
  </si>
  <si>
    <t>Транспупиллярная, микроинвазивная энергетическая оптико-реконструктивная, эндовитреальная 23 - 27 гейджевая хирургия при витреоретинальной патологии различного генеза</t>
  </si>
  <si>
    <t>Комплексное лечение болезней роговицы, включая оптико-реконструктивную и лазерную хирургию, интенсивное консервативное лечение язвы роговицы</t>
  </si>
  <si>
    <t>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</si>
  <si>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ОФТАЛЬМОЛОГИЯ</t>
  </si>
  <si>
    <t>Поликомпонентное лечение ювенильного ревматоидного артрита, юношеского анкилозирующего спондилита, системной красной волчанки, системного склероза, юношеского дерматополимиозита, ювенильного узелкового полиартериита с применением химиотерапевтических, генно-инженерных биологических лекарственных препаратов, протезно-ортопедической коррекции и экстракорпоральных методов очищения крови</t>
  </si>
  <si>
    <t>ПЕДИАТРИЯ</t>
  </si>
  <si>
    <t>Реконструктивные операции на звукопроводящем аппарате среднего уха</t>
  </si>
  <si>
    <t>ОТОРИНОЛАРИНГОЛОГИЯ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</si>
  <si>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заболеваний. Комплексная, высокоинтенсивная и высокодозная химиотерапия (включая лечение таргетными лекарственными прпаратами) солидных опухолей, рецидивов и рефрактерных форм солидных опухолей, гистиоцитоза у детей</t>
  </si>
  <si>
    <t>Дистанционная, внутритканевая, внутриполостная, стереотаксическая, радионуклидная лучевая терапия в радиотерапевтических отделениях, высокоинтенсивная фокусированная ультразвуковая терапия при злокачественных новообразованиях</t>
  </si>
  <si>
    <t>Комбинированное лечение злокачественных новообразований, сочетающее обширные хирургические вмешательства и лекарственное противоопухолевое лечение, требующее интенсивной поддерживающей и корригирующей терапии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</si>
  <si>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при злокачественных новообразованиях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</si>
  <si>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органосохранные вмешательства при злокачественных новообразованиях</t>
  </si>
  <si>
    <t>ОНКОЛОГИЯ</t>
  </si>
  <si>
    <t>Имплантация, в том числе стереотаксическая, внутримозговых, эпидуральных и периферийных электродов, включая тестовые, нейростимуляторов и помп на постоянных источниках тока и их замена для нейростимуляции головного и спинного мозга, периферических нервов</t>
  </si>
  <si>
    <t>Микрохирургические, эндоваскулярные и стереотаксические вмешательства с применением неадгезивной клеевой композиции, микроспиралей (5 и более койлов) или потоковых стентов при патологии сосудов головного и спинного мозга, богатокровоснабжаемых опухолях головы и головного мозга</t>
  </si>
  <si>
    <t>Реконструктивные вмешательства при сложных и гигантских дефектах и деформациях свода и основания черепа, орбиты и прилегающих отделов лицевого скелета врожденного и приобретенного генеза с использованием ресурсоемких имплантатов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</si>
  <si>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 койлов), стентов при патологии сосудов головного и спинного мозга, богатокровоснабжаемых опухолях головы и головного мозга,внутримозговых и внутрижелудочковых гематомах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</si>
  <si>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Имплантация временных электродов для нейростимуляции спинного мозга и периферических нервов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</si>
  <si>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</si>
  <si>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I - II типов, врожденных (коллоидных, дермоидных, эпидермоидных) церебральных кистах, злокачественных и добро­качественных новооб­разованиях шишковидной железы (в том числе кистозных), туберозном склерозе, гамартозе</t>
  </si>
  <si>
    <t>Микрохирургические, эндоскопические и стереотаксические вмешательства при глиомах зрительных нервов и хиазмы, краниофарин­гиомах, аденомах гипофиза, невриномах, в том числе внутричерепных новообразованиях при нейрофиброматозе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</si>
  <si>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</si>
  <si>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НЕЙРОХИРУРГИЯ</t>
  </si>
  <si>
    <t>Хирургическое лечение послеожоговых рубцоы и рубцовых деформаций, требующих этапных реконструктивно-пластических операций</t>
  </si>
  <si>
    <t>КОМБУСТИОЛОГИЯ</t>
  </si>
  <si>
    <t>Микрохирургические и реконструктивно-платические операции на печени, желчных протоках и сосудах печени, в том числе эндоваскулярные операции на сосудах печени, и реконструктивные операции на сосудах системы воротной вены, стентирование внутри- и внепеченочных желчных протоков</t>
  </si>
  <si>
    <t>АБДОМИНАЛЬНАЯ ХИРУРГИЯ</t>
  </si>
  <si>
    <r>
      <t>Наименование вида ВМП</t>
    </r>
    <r>
      <rPr>
        <vertAlign val="superscript"/>
        <sz val="12"/>
        <rFont val="Times New Roman"/>
        <family val="1"/>
        <charset val="204"/>
      </rPr>
      <t>1</t>
    </r>
  </si>
  <si>
    <r>
      <t>№ группы ВМП</t>
    </r>
    <r>
      <rPr>
        <vertAlign val="superscript"/>
        <sz val="12"/>
        <rFont val="Times New Roman"/>
        <family val="1"/>
        <charset val="204"/>
      </rPr>
      <t>1</t>
    </r>
  </si>
  <si>
    <t>Раздел II. Перечень видов высокотехнологичной медицинской помощи, не включенных в базовую программу обязательного медицинского страхования, финансовое обеспечение которых осуществляется за счет за счет средств, предоставляемых федеральному бюджету из бюджета Федерального фонда обязательного медицинского страхования в виде иных межбюджетных трансфертов в соответствии с федеральным законом о бюджете Федерального фонда обязательного медицинского страхования на очередной финансовый год и на плановый период</t>
  </si>
  <si>
    <r>
      <t>2</t>
    </r>
    <r>
      <rPr>
        <sz val="8"/>
        <rFont val="Times New Roman"/>
        <family val="1"/>
        <charset val="204"/>
      </rPr>
      <t> Международная статистическая классификация болезней и проблем, связанных со здоровьем (10-й пересмотр).</t>
    </r>
  </si>
  <si>
    <r>
      <t>1</t>
    </r>
    <r>
      <rPr>
        <sz val="8"/>
        <rFont val="Times New Roman"/>
        <family val="1"/>
        <charset val="204"/>
      </rPr>
      <t> Высокотехнологичная медицинская помощь.</t>
    </r>
  </si>
  <si>
    <t>Терапевтическое лечение сосудистых осложнений сахарного диабета (нефропатии,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</si>
  <si>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ЭНДОКРИНОЛОГИЯ</t>
  </si>
  <si>
    <t>Реконструктивно-пластические операции при врожденных пороках развития черепно-челюстно-лицевой области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</si>
  <si>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</si>
  <si>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Реконструктивные и корригирующие операции при сколиотических деформациях позвоночника 3 - 4 степени с применением имплантатов, стабилизирующих систем, аппаратов внешней фиксации, в том числе у детей, в сочетании с аномалией развития грудной клетки</t>
  </si>
  <si>
    <t>Эндопротезирование суставов конечностей</t>
  </si>
  <si>
    <t>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фиксрующих устройств</t>
  </si>
  <si>
    <t>Реконструктивно-пластические операции на костях таза, верхних  и нижних конечностях с использованием  погружных или наружных фиксирующих устройств, синтетических и биологических остеозамещающих материалов, компьютерной навигации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</si>
  <si>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</si>
  <si>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Реконструктивные и декомпрессивные операции при травмах и заболеваниях позвоночника с резекцией позвонков, корригирующей 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</si>
  <si>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ТРАВМАТОЛОГИЯ И ОРТОПЕДИЯ</t>
  </si>
  <si>
    <t>Эндоваскулярная, хирургическая коррекция нарушений ритма сердца без имплантации кардиовертера-дефибриллятора у детей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</si>
  <si>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</si>
  <si>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</si>
  <si>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</si>
  <si>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РЕВМАТОЛОГИЯ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</si>
  <si>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</si>
  <si>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 том числе с применением комплексного офтальмологического обследования под общей анестезией</t>
  </si>
  <si>
    <t>Транспупиллярная, микроинвазивная энергетическая оптико-реконструктивная, интравитреальная, эндовитреальная 23-27 гейджевая хирургия при витреоретинальной патологии различного генеза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</si>
  <si>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</si>
  <si>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Комплексное хирургическое лечение  глаукомы, включая микроинвазивную энергетическую оптико-реконструктивную и лазерную хирургию,  имплантацию  различных видов дренажей</t>
  </si>
  <si>
    <t>Реконструктивно-пластическое восстановление функции гортани и трахеи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</si>
  <si>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</si>
  <si>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Комбинированное лечение злокачественных новообразований,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</si>
  <si>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</si>
  <si>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</si>
  <si>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</si>
  <si>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 лучевых, биохимических, иммунологических и молекулярно-генетических исследований</t>
  </si>
  <si>
    <t>НЕОНАТОЛОГИЯ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</si>
  <si>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декомпресиионно-стабилизираующие и реконструктивные опеарции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</si>
  <si>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</si>
  <si>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</si>
  <si>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Реконструктивные вмешательства на экстракраниальных отделах церебральных артерий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</si>
  <si>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</si>
  <si>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</si>
  <si>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</si>
  <si>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 xml:space="preserve"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 </t>
  </si>
  <si>
    <t>Комплексное лечение больных с обширными ожогами более 50 процентов поверхности тела различной локализации, в том числе термоингаляционными травмами</t>
  </si>
  <si>
    <t>Комплексное лечение больных с обширными ожогами от 30 до 48 процентов поверхности тела различной локализации, в том числе термоингаляционными травмами</t>
  </si>
  <si>
    <t>Лечение тяжелых, резистентных форм псориаза, включая псориатический артрит, с применением генно-инженерных биологических лекарственных препаратов</t>
  </si>
  <si>
    <t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</si>
  <si>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>ДЕРМАТОВЕНЕРОЛОГИЯ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</si>
  <si>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</si>
  <si>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ДЕТСКАЯ ХИРУРГИЯ В ПЕРИОД НОВОРОЖДЕННОСТИ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</si>
  <si>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 методы лечения при апластических анемиях, апластических, цитопенических и цитолитических синдромах, агранулоцитозе, нарушениях плазменного  и тромбоцитарного гемостаза, острой лучевой болезни</t>
  </si>
  <si>
    <t>ГЕМАТОЛОГИЯ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</si>
  <si>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</si>
  <si>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</si>
  <si>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ГАСТРОЭНТЕРОЛОГИЯ</t>
  </si>
  <si>
    <t>Комплексное лечение при привычном невынашивании беременности, вызванном тромбофилическими мутациями, антифосфолипидным синдромом, резус-сенсибилизацией, с применением химиотерапевтических, генно-инженерных, биологических, онтогенетических, молекулярно-генетических и иммуногенетических методов коррекции</t>
  </si>
  <si>
    <t>АКУШЕРСТВО И ГИНЕКОЛОГИЯ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</si>
  <si>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</si>
  <si>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обязательного медицинского страхования</t>
  </si>
  <si>
    <t>из бюджета Федерального фонда обязательного медицинского страхования бюджетам территориальных фондов</t>
  </si>
  <si>
    <t>обязательного медицинского страхования, финансовое обеспечение которых осуществляется за счет субвенции</t>
  </si>
  <si>
    <t>Раздел I. Перечень видов высокотехнологичной медицинской помощи, включенных в базовую программу</t>
  </si>
  <si>
    <t xml:space="preserve"> Программе государственных гарантий бесплатного оказания 
гражданам медицинской помощи в Республике Саха (Якутия) 
на 2019  год и на плановый период 2020 и 2021 годов</t>
  </si>
  <si>
    <t>Приложение № 11</t>
  </si>
  <si>
    <t>__________________________</t>
  </si>
  <si>
    <t>5) объем посещений с другими целями (патронаж, выдача справок и иных медицинских документов и др.)</t>
  </si>
  <si>
    <t>4) объем посещений посещений медицнских работников, имеющих среднее медицинское образование, ведущий самостоятельный прием</t>
  </si>
  <si>
    <t>3) объем посещений в связи с оказанием паллиативной медицинской помощи</t>
  </si>
  <si>
    <t>2)объем посещений по медицинской реабилитации</t>
  </si>
  <si>
    <t>1) объем разовых посещений связи с заболеванием</t>
  </si>
  <si>
    <t>II. Объем посещений с иными целями (сумма строк 10+11+12+13+14), в том числе:</t>
  </si>
  <si>
    <t>4) объем посещений центров здоровья</t>
  </si>
  <si>
    <t>3) объем посещений для проведения диспансерного наблюдения</t>
  </si>
  <si>
    <t>2) объем посещений для проведения диспансеризации определенных групп населения (2-й этап)</t>
  </si>
  <si>
    <t>б) норматив объема для проведения профилактических медицинских осмотров в рамках диспансеризации (1-ый этап)</t>
  </si>
  <si>
    <t>а) норматив объема для проведения профилактических медицинских осмотров, в том числе при первом посещении по поводу диспансерного наблюдения</t>
  </si>
  <si>
    <t>1) норматив объема для проведения профилактических медицинских осмотров, в том числе в рамках диспансеризации, всего (сумма строк 4+5), том числе:</t>
  </si>
  <si>
    <t>I. Объем посещений с профилактическими целями (сумма строк 3+6+7+8), в том числе:</t>
  </si>
  <si>
    <t>Средства ОМС</t>
  </si>
  <si>
    <t>Бюджетные ассигнования бюджета субъекта РФ</t>
  </si>
  <si>
    <t>Территориальный норматив посещений с профилактическими и иными целями, всего (сумма строк 2+9), в том числе:</t>
  </si>
  <si>
    <t>Источник финансового обеспечения</t>
  </si>
  <si>
    <t>Показатель (на 1 жителя/застрахованное лицо)</t>
  </si>
  <si>
    <t>Приложение № 12                                                                                           
к Программе государственных гарантий бесплатного оказания гражданам медицинской помощи в Республике Саха (Якутия) на 2019 год и на плановый период 2020 и 2021 годов</t>
  </si>
  <si>
    <t>Объем 
медицинской помощи в амбулаторных условиях, 
оказываемой с профилактическими и иными целями, 
на 1 жителя/застрахованное лицо на 2019 год</t>
  </si>
  <si>
    <t>______________________</t>
  </si>
  <si>
    <t>№ 
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</si>
</sst>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"/>
    <numFmt numFmtId="168" formatCode="#,##0.00000"/>
    <numFmt numFmtId="169" formatCode="#,##0.000000"/>
    <numFmt numFmtId="170" formatCode="0.00000"/>
    <numFmt numFmtId="171" formatCode="0.000"/>
    <numFmt numFmtId="172" formatCode="0.0000"/>
    <numFmt numFmtId="173" formatCode="\M\o\n\t\h\ \D.\y\y\y\y"/>
    <numFmt numFmtId="174" formatCode="_-* #,##0\ _р_._-;\-* #,##0\ _р_._-;_-* &quot;-&quot;\ _р_._-;_-@_-"/>
    <numFmt numFmtId="175" formatCode="_-* #,##0.00\ _р_._-;\-* #,##0.00\ _р_._-;_-* &quot;-&quot;??\ _р_._-;_-@_-"/>
    <numFmt numFmtId="176" formatCode="_-* #,##0.000_р_._-;\-* #,##0.000_р_._-;_-* &quot;-&quot;???_р_._-;_-@_-"/>
    <numFmt numFmtId="177" formatCode="_-* #,##0.00000_р_._-;\-* #,##0.00000_р_._-;_-* &quot;-&quot;??_р_._-;_-@_-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trike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0"/>
      <color indexed="8"/>
      <name val="Arial"/>
      <family val="2"/>
      <charset val="204"/>
    </font>
    <font>
      <u/>
      <sz val="12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6">
    <xf numFmtId="0" fontId="0" fillId="0" borderId="0"/>
    <xf numFmtId="43" fontId="18" fillId="0" borderId="0"/>
    <xf numFmtId="41" fontId="18" fillId="0" borderId="0"/>
    <xf numFmtId="43" fontId="18" fillId="0" borderId="0"/>
    <xf numFmtId="43" fontId="2" fillId="0" borderId="0" applyFont="0" applyFill="0" applyBorder="0" applyAlignment="0" applyProtection="0"/>
    <xf numFmtId="44" fontId="18" fillId="0" borderId="0"/>
    <xf numFmtId="42" fontId="18" fillId="0" borderId="0"/>
    <xf numFmtId="44" fontId="18" fillId="0" borderId="0"/>
    <xf numFmtId="44" fontId="2" fillId="0" borderId="0" applyFont="0" applyFill="0" applyBorder="0" applyAlignment="0" applyProtection="0"/>
    <xf numFmtId="173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/>
    <xf numFmtId="0" fontId="31" fillId="0" borderId="0">
      <protection locked="0"/>
    </xf>
    <xf numFmtId="0" fontId="3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" fillId="0" borderId="0"/>
    <xf numFmtId="9" fontId="18" fillId="0" borderId="0"/>
    <xf numFmtId="9" fontId="18" fillId="0" borderId="0"/>
    <xf numFmtId="0" fontId="19" fillId="0" borderId="1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/>
    <xf numFmtId="0" fontId="2" fillId="0" borderId="0"/>
    <xf numFmtId="0" fontId="30" fillId="0" borderId="0"/>
    <xf numFmtId="0" fontId="18" fillId="0" borderId="0"/>
    <xf numFmtId="0" fontId="32" fillId="0" borderId="0"/>
    <xf numFmtId="0" fontId="22" fillId="0" borderId="0">
      <protection locked="0"/>
    </xf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18" fillId="0" borderId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7">
    <xf numFmtId="0" fontId="0" fillId="0" borderId="0" xfId="0"/>
    <xf numFmtId="0" fontId="8" fillId="2" borderId="0" xfId="0" applyFont="1" applyFill="1"/>
    <xf numFmtId="0" fontId="3" fillId="2" borderId="0" xfId="26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1" fillId="2" borderId="0" xfId="26" applyFont="1" applyFill="1" applyAlignment="1">
      <alignment horizontal="left"/>
    </xf>
    <xf numFmtId="0" fontId="13" fillId="2" borderId="2" xfId="26" applyNumberFormat="1" applyFont="1" applyFill="1" applyBorder="1" applyAlignment="1">
      <alignment horizontal="center" vertical="top"/>
    </xf>
    <xf numFmtId="49" fontId="13" fillId="2" borderId="3" xfId="26" applyNumberFormat="1" applyFont="1" applyFill="1" applyBorder="1" applyAlignment="1">
      <alignment horizontal="center" vertical="center"/>
    </xf>
    <xf numFmtId="49" fontId="9" fillId="2" borderId="3" xfId="26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49" fontId="9" fillId="2" borderId="0" xfId="26" applyNumberFormat="1" applyFont="1" applyFill="1" applyBorder="1" applyAlignment="1">
      <alignment horizontal="left" vertical="center" wrapText="1"/>
    </xf>
    <xf numFmtId="0" fontId="10" fillId="2" borderId="0" xfId="26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0" xfId="26" applyFont="1" applyFill="1" applyAlignment="1">
      <alignment horizontal="center" vertical="center" wrapText="1"/>
    </xf>
    <xf numFmtId="0" fontId="10" fillId="3" borderId="0" xfId="26" applyFont="1" applyFill="1" applyAlignment="1">
      <alignment horizontal="center" vertical="center"/>
    </xf>
    <xf numFmtId="0" fontId="11" fillId="3" borderId="0" xfId="26" applyFont="1" applyFill="1" applyAlignment="1">
      <alignment horizontal="center" vertical="center"/>
    </xf>
    <xf numFmtId="0" fontId="13" fillId="3" borderId="2" xfId="26" applyNumberFormat="1" applyFont="1" applyFill="1" applyBorder="1" applyAlignment="1">
      <alignment horizontal="center" vertical="center" wrapText="1"/>
    </xf>
    <xf numFmtId="0" fontId="13" fillId="3" borderId="3" xfId="26" applyNumberFormat="1" applyFont="1" applyFill="1" applyBorder="1" applyAlignment="1">
      <alignment horizontal="center" vertical="center" wrapText="1"/>
    </xf>
    <xf numFmtId="0" fontId="13" fillId="3" borderId="2" xfId="26" applyNumberFormat="1" applyFont="1" applyFill="1" applyBorder="1" applyAlignment="1">
      <alignment horizontal="center" vertical="center"/>
    </xf>
    <xf numFmtId="0" fontId="13" fillId="3" borderId="3" xfId="26" applyNumberFormat="1" applyFont="1" applyFill="1" applyBorder="1" applyAlignment="1">
      <alignment horizontal="center" vertical="center"/>
    </xf>
    <xf numFmtId="165" fontId="13" fillId="3" borderId="3" xfId="26" applyNumberFormat="1" applyFont="1" applyFill="1" applyBorder="1" applyAlignment="1">
      <alignment horizontal="center" vertical="center"/>
    </xf>
    <xf numFmtId="165" fontId="9" fillId="3" borderId="3" xfId="26" applyNumberFormat="1" applyFont="1" applyFill="1" applyBorder="1" applyAlignment="1" applyProtection="1">
      <alignment horizontal="center" vertical="center"/>
      <protection locked="0"/>
    </xf>
    <xf numFmtId="4" fontId="9" fillId="3" borderId="3" xfId="26" applyNumberFormat="1" applyFont="1" applyFill="1" applyBorder="1" applyAlignment="1" applyProtection="1">
      <alignment horizontal="center" vertical="center"/>
      <protection locked="0"/>
    </xf>
    <xf numFmtId="4" fontId="13" fillId="3" borderId="3" xfId="26" applyNumberFormat="1" applyFont="1" applyFill="1" applyBorder="1" applyAlignment="1" applyProtection="1">
      <alignment horizontal="center" vertical="center"/>
    </xf>
    <xf numFmtId="166" fontId="9" fillId="3" borderId="3" xfId="26" applyNumberFormat="1" applyFont="1" applyFill="1" applyBorder="1" applyAlignment="1" applyProtection="1">
      <alignment horizontal="center" vertical="center"/>
      <protection locked="0"/>
    </xf>
    <xf numFmtId="165" fontId="9" fillId="3" borderId="3" xfId="26" applyNumberFormat="1" applyFont="1" applyFill="1" applyBorder="1" applyAlignment="1" applyProtection="1">
      <alignment horizontal="center" vertical="center"/>
    </xf>
    <xf numFmtId="49" fontId="9" fillId="2" borderId="0" xfId="26" applyNumberFormat="1" applyFont="1" applyFill="1" applyBorder="1" applyAlignment="1">
      <alignment horizontal="center" vertical="center" wrapText="1"/>
    </xf>
    <xf numFmtId="165" fontId="9" fillId="3" borderId="0" xfId="26" applyNumberFormat="1" applyFont="1" applyFill="1" applyBorder="1" applyAlignment="1" applyProtection="1">
      <alignment horizontal="center" vertical="center"/>
    </xf>
    <xf numFmtId="4" fontId="9" fillId="3" borderId="0" xfId="26" applyNumberFormat="1" applyFont="1" applyFill="1" applyBorder="1" applyAlignment="1" applyProtection="1">
      <alignment horizontal="center" vertical="center"/>
      <protection locked="0"/>
    </xf>
    <xf numFmtId="165" fontId="9" fillId="3" borderId="0" xfId="26" applyNumberFormat="1" applyFont="1" applyFill="1" applyBorder="1" applyAlignment="1" applyProtection="1">
      <alignment horizontal="center" vertical="center"/>
      <protection locked="0"/>
    </xf>
    <xf numFmtId="4" fontId="9" fillId="4" borderId="3" xfId="26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0" fontId="3" fillId="3" borderId="0" xfId="26" applyFont="1" applyFill="1" applyAlignment="1">
      <alignment horizontal="left"/>
    </xf>
    <xf numFmtId="0" fontId="3" fillId="3" borderId="0" xfId="26" applyFont="1" applyFill="1" applyAlignment="1">
      <alignment vertical="center"/>
    </xf>
    <xf numFmtId="0" fontId="4" fillId="3" borderId="3" xfId="26" applyNumberFormat="1" applyFont="1" applyFill="1" applyBorder="1" applyAlignment="1">
      <alignment horizontal="center" vertical="center" wrapText="1"/>
    </xf>
    <xf numFmtId="0" fontId="3" fillId="3" borderId="3" xfId="26" applyNumberFormat="1" applyFont="1" applyFill="1" applyBorder="1" applyAlignment="1">
      <alignment horizontal="center" vertical="top"/>
    </xf>
    <xf numFmtId="0" fontId="3" fillId="3" borderId="3" xfId="26" applyFont="1" applyFill="1" applyBorder="1" applyAlignment="1">
      <alignment horizontal="left"/>
    </xf>
    <xf numFmtId="0" fontId="4" fillId="3" borderId="3" xfId="26" applyFont="1" applyFill="1" applyBorder="1" applyAlignment="1">
      <alignment horizontal="left" vertical="top" wrapText="1"/>
    </xf>
    <xf numFmtId="49" fontId="3" fillId="3" borderId="3" xfId="26" applyNumberFormat="1" applyFont="1" applyFill="1" applyBorder="1" applyAlignment="1">
      <alignment horizontal="center" vertical="center"/>
    </xf>
    <xf numFmtId="4" fontId="3" fillId="3" borderId="3" xfId="26" applyNumberFormat="1" applyFont="1" applyFill="1" applyBorder="1" applyAlignment="1">
      <alignment horizontal="center" vertical="center"/>
    </xf>
    <xf numFmtId="4" fontId="3" fillId="3" borderId="3" xfId="26" applyNumberFormat="1" applyFont="1" applyFill="1" applyBorder="1" applyAlignment="1">
      <alignment horizontal="center"/>
    </xf>
    <xf numFmtId="2" fontId="3" fillId="3" borderId="3" xfId="26" applyNumberFormat="1" applyFont="1" applyFill="1" applyBorder="1" applyAlignment="1">
      <alignment horizontal="center"/>
    </xf>
    <xf numFmtId="4" fontId="3" fillId="3" borderId="0" xfId="26" applyNumberFormat="1" applyFont="1" applyFill="1" applyAlignment="1">
      <alignment horizontal="left"/>
    </xf>
    <xf numFmtId="0" fontId="3" fillId="3" borderId="3" xfId="26" applyFont="1" applyFill="1" applyBorder="1" applyAlignment="1">
      <alignment horizontal="left" vertical="top" wrapText="1"/>
    </xf>
    <xf numFmtId="0" fontId="5" fillId="3" borderId="3" xfId="26" applyFont="1" applyFill="1" applyBorder="1" applyAlignment="1">
      <alignment horizontal="left" vertical="top" wrapText="1"/>
    </xf>
    <xf numFmtId="167" fontId="3" fillId="3" borderId="3" xfId="26" applyNumberFormat="1" applyFont="1" applyFill="1" applyBorder="1" applyAlignment="1">
      <alignment horizontal="center" vertical="center"/>
    </xf>
    <xf numFmtId="0" fontId="3" fillId="3" borderId="0" xfId="26" applyFont="1" applyFill="1" applyBorder="1" applyAlignment="1">
      <alignment horizontal="left" vertical="top" wrapText="1"/>
    </xf>
    <xf numFmtId="49" fontId="3" fillId="3" borderId="0" xfId="26" applyNumberFormat="1" applyFont="1" applyFill="1" applyBorder="1" applyAlignment="1">
      <alignment horizontal="center" vertical="top"/>
    </xf>
    <xf numFmtId="4" fontId="3" fillId="3" borderId="0" xfId="26" applyNumberFormat="1" applyFont="1" applyFill="1" applyBorder="1" applyAlignment="1">
      <alignment horizontal="center" vertical="top"/>
    </xf>
    <xf numFmtId="0" fontId="3" fillId="3" borderId="0" xfId="26" applyFont="1" applyFill="1" applyAlignment="1">
      <alignment horizontal="left" vertical="top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0" fontId="3" fillId="3" borderId="3" xfId="26" applyFont="1" applyFill="1" applyBorder="1" applyAlignment="1">
      <alignment horizontal="right"/>
    </xf>
    <xf numFmtId="4" fontId="3" fillId="3" borderId="3" xfId="26" applyNumberFormat="1" applyFont="1" applyFill="1" applyBorder="1" applyAlignment="1">
      <alignment horizontal="left"/>
    </xf>
    <xf numFmtId="2" fontId="3" fillId="3" borderId="0" xfId="26" applyNumberFormat="1" applyFont="1" applyFill="1" applyAlignment="1">
      <alignment horizontal="left"/>
    </xf>
    <xf numFmtId="167" fontId="3" fillId="3" borderId="0" xfId="26" applyNumberFormat="1" applyFont="1" applyFill="1" applyAlignment="1">
      <alignment horizontal="left"/>
    </xf>
    <xf numFmtId="4" fontId="9" fillId="0" borderId="3" xfId="26" applyNumberFormat="1" applyFont="1" applyFill="1" applyBorder="1" applyAlignment="1">
      <alignment horizontal="center" vertical="center"/>
    </xf>
    <xf numFmtId="0" fontId="0" fillId="0" borderId="0" xfId="0" applyFill="1"/>
    <xf numFmtId="49" fontId="9" fillId="0" borderId="3" xfId="26" applyNumberFormat="1" applyFont="1" applyFill="1" applyBorder="1" applyAlignment="1">
      <alignment horizontal="center" vertical="center"/>
    </xf>
    <xf numFmtId="49" fontId="9" fillId="0" borderId="3" xfId="26" applyNumberFormat="1" applyFont="1" applyFill="1" applyBorder="1" applyAlignment="1">
      <alignment horizontal="center" vertical="center" wrapText="1"/>
    </xf>
    <xf numFmtId="171" fontId="9" fillId="0" borderId="3" xfId="26" applyNumberFormat="1" applyFont="1" applyFill="1" applyBorder="1" applyAlignment="1">
      <alignment horizontal="center" vertical="center"/>
    </xf>
    <xf numFmtId="165" fontId="9" fillId="0" borderId="3" xfId="26" applyNumberFormat="1" applyFont="1" applyFill="1" applyBorder="1" applyAlignment="1" applyProtection="1">
      <alignment horizontal="center" vertical="center"/>
      <protection locked="0"/>
    </xf>
    <xf numFmtId="2" fontId="9" fillId="0" borderId="3" xfId="26" applyNumberFormat="1" applyFont="1" applyFill="1" applyBorder="1" applyAlignment="1">
      <alignment horizontal="center" vertical="center"/>
    </xf>
    <xf numFmtId="165" fontId="9" fillId="0" borderId="3" xfId="26" applyNumberFormat="1" applyFont="1" applyFill="1" applyBorder="1" applyAlignment="1">
      <alignment horizontal="center" vertical="center"/>
    </xf>
    <xf numFmtId="167" fontId="9" fillId="0" borderId="3" xfId="65" applyNumberFormat="1" applyFont="1" applyFill="1" applyBorder="1" applyAlignment="1">
      <alignment horizontal="center" vertical="center"/>
    </xf>
    <xf numFmtId="2" fontId="13" fillId="0" borderId="3" xfId="26" applyNumberFormat="1" applyFont="1" applyFill="1" applyBorder="1" applyAlignment="1">
      <alignment horizontal="center" vertical="center"/>
    </xf>
    <xf numFmtId="165" fontId="13" fillId="0" borderId="3" xfId="26" applyNumberFormat="1" applyFont="1" applyFill="1" applyBorder="1" applyAlignment="1">
      <alignment horizontal="center" vertical="center"/>
    </xf>
    <xf numFmtId="4" fontId="34" fillId="0" borderId="3" xfId="26" applyNumberFormat="1" applyFont="1" applyFill="1" applyBorder="1" applyAlignment="1">
      <alignment horizontal="center" vertical="center"/>
    </xf>
    <xf numFmtId="167" fontId="11" fillId="3" borderId="3" xfId="26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3" xfId="26" applyFont="1" applyFill="1" applyBorder="1" applyAlignment="1">
      <alignment horizontal="center" wrapText="1"/>
    </xf>
    <xf numFmtId="0" fontId="3" fillId="3" borderId="0" xfId="26" applyFont="1" applyFill="1" applyAlignment="1">
      <alignment horizontal="center" wrapText="1"/>
    </xf>
    <xf numFmtId="0" fontId="3" fillId="3" borderId="3" xfId="26" applyFont="1" applyFill="1" applyBorder="1" applyAlignment="1">
      <alignment horizontal="center" vertical="center" wrapText="1"/>
    </xf>
    <xf numFmtId="176" fontId="0" fillId="5" borderId="0" xfId="0" applyNumberFormat="1" applyFill="1"/>
    <xf numFmtId="176" fontId="0" fillId="6" borderId="0" xfId="0" applyNumberFormat="1" applyFill="1"/>
    <xf numFmtId="177" fontId="36" fillId="7" borderId="0" xfId="65" applyNumberFormat="1" applyFont="1" applyFill="1"/>
    <xf numFmtId="4" fontId="11" fillId="3" borderId="0" xfId="26" applyNumberFormat="1" applyFont="1" applyFill="1" applyAlignment="1">
      <alignment horizontal="center" vertical="center"/>
    </xf>
    <xf numFmtId="177" fontId="0" fillId="2" borderId="0" xfId="0" applyNumberFormat="1" applyFill="1"/>
    <xf numFmtId="43" fontId="11" fillId="3" borderId="0" xfId="65" applyFont="1" applyFill="1" applyAlignment="1">
      <alignment horizontal="center" vertical="center"/>
    </xf>
    <xf numFmtId="49" fontId="9" fillId="0" borderId="3" xfId="26" applyNumberFormat="1" applyFont="1" applyFill="1" applyBorder="1" applyAlignment="1">
      <alignment horizontal="left" vertical="center" wrapText="1"/>
    </xf>
    <xf numFmtId="0" fontId="3" fillId="3" borderId="0" xfId="26" applyFont="1" applyFill="1" applyAlignment="1">
      <alignment horizontal="center" vertical="center" wrapText="1"/>
    </xf>
    <xf numFmtId="4" fontId="9" fillId="0" borderId="3" xfId="26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3" fillId="0" borderId="0" xfId="26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9" fillId="0" borderId="0" xfId="26" applyFont="1" applyFill="1" applyAlignment="1">
      <alignment horizontal="center" vertical="center"/>
    </xf>
    <xf numFmtId="0" fontId="10" fillId="0" borderId="0" xfId="26" applyFont="1" applyFill="1" applyAlignment="1">
      <alignment horizontal="center"/>
    </xf>
    <xf numFmtId="0" fontId="10" fillId="0" borderId="0" xfId="26" applyFont="1" applyFill="1" applyAlignment="1">
      <alignment horizontal="center" vertical="center"/>
    </xf>
    <xf numFmtId="0" fontId="11" fillId="0" borderId="0" xfId="26" applyFont="1" applyFill="1" applyAlignment="1">
      <alignment horizontal="left"/>
    </xf>
    <xf numFmtId="0" fontId="11" fillId="0" borderId="0" xfId="26" applyFont="1" applyFill="1" applyAlignment="1">
      <alignment horizontal="center" vertical="center"/>
    </xf>
    <xf numFmtId="0" fontId="13" fillId="0" borderId="3" xfId="26" applyNumberFormat="1" applyFont="1" applyFill="1" applyBorder="1" applyAlignment="1">
      <alignment horizontal="center" vertical="center" wrapText="1"/>
    </xf>
    <xf numFmtId="0" fontId="13" fillId="0" borderId="3" xfId="26" applyNumberFormat="1" applyFont="1" applyFill="1" applyBorder="1" applyAlignment="1">
      <alignment horizontal="center" vertical="top"/>
    </xf>
    <xf numFmtId="0" fontId="13" fillId="0" borderId="3" xfId="26" applyNumberFormat="1" applyFont="1" applyFill="1" applyBorder="1" applyAlignment="1">
      <alignment horizontal="center" vertical="center"/>
    </xf>
    <xf numFmtId="49" fontId="13" fillId="0" borderId="3" xfId="26" applyNumberFormat="1" applyFont="1" applyFill="1" applyBorder="1" applyAlignment="1">
      <alignment horizontal="center" vertical="center"/>
    </xf>
    <xf numFmtId="4" fontId="13" fillId="0" borderId="3" xfId="26" applyNumberFormat="1" applyFont="1" applyFill="1" applyBorder="1" applyAlignment="1" applyProtection="1">
      <alignment horizontal="center" vertical="center"/>
    </xf>
    <xf numFmtId="166" fontId="9" fillId="0" borderId="3" xfId="26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/>
    <xf numFmtId="4" fontId="0" fillId="0" borderId="0" xfId="0" applyNumberFormat="1" applyFill="1"/>
    <xf numFmtId="49" fontId="14" fillId="0" borderId="3" xfId="26" applyNumberFormat="1" applyFont="1" applyFill="1" applyBorder="1" applyAlignment="1">
      <alignment horizontal="center" vertical="center" wrapText="1"/>
    </xf>
    <xf numFmtId="169" fontId="9" fillId="0" borderId="3" xfId="26" applyNumberFormat="1" applyFont="1" applyFill="1" applyBorder="1" applyAlignment="1" applyProtection="1">
      <alignment horizontal="center" vertical="center"/>
      <protection locked="0"/>
    </xf>
    <xf numFmtId="168" fontId="9" fillId="0" borderId="3" xfId="26" applyNumberFormat="1" applyFont="1" applyFill="1" applyBorder="1" applyAlignment="1" applyProtection="1">
      <alignment horizontal="center" vertical="center"/>
      <protection locked="0"/>
    </xf>
    <xf numFmtId="4" fontId="13" fillId="0" borderId="3" xfId="26" applyNumberFormat="1" applyFont="1" applyFill="1" applyBorder="1" applyAlignment="1">
      <alignment horizontal="center" vertical="center"/>
    </xf>
    <xf numFmtId="166" fontId="13" fillId="0" borderId="3" xfId="26" applyNumberFormat="1" applyFont="1" applyFill="1" applyBorder="1" applyAlignment="1" applyProtection="1">
      <alignment horizontal="center" vertical="center"/>
    </xf>
    <xf numFmtId="165" fontId="13" fillId="0" borderId="3" xfId="26" applyNumberFormat="1" applyFont="1" applyFill="1" applyBorder="1" applyAlignment="1" applyProtection="1">
      <alignment horizontal="center" vertical="center"/>
      <protection locked="0"/>
    </xf>
    <xf numFmtId="167" fontId="13" fillId="0" borderId="3" xfId="26" applyNumberFormat="1" applyFont="1" applyFill="1" applyBorder="1" applyAlignment="1" applyProtection="1">
      <alignment horizontal="center" vertical="center"/>
    </xf>
    <xf numFmtId="167" fontId="33" fillId="0" borderId="0" xfId="0" applyNumberFormat="1" applyFont="1" applyFill="1"/>
    <xf numFmtId="0" fontId="33" fillId="0" borderId="0" xfId="0" applyFont="1" applyFill="1"/>
    <xf numFmtId="165" fontId="13" fillId="0" borderId="3" xfId="26" applyNumberFormat="1" applyFont="1" applyFill="1" applyBorder="1" applyAlignment="1" applyProtection="1">
      <alignment horizontal="center" vertical="center"/>
    </xf>
    <xf numFmtId="4" fontId="13" fillId="0" borderId="3" xfId="26" applyNumberFormat="1" applyFont="1" applyFill="1" applyBorder="1" applyAlignment="1" applyProtection="1">
      <alignment horizontal="center" vertical="center"/>
      <protection locked="0"/>
    </xf>
    <xf numFmtId="167" fontId="13" fillId="0" borderId="3" xfId="65" applyNumberFormat="1" applyFont="1" applyFill="1" applyBorder="1" applyAlignment="1">
      <alignment horizontal="center" vertical="center"/>
    </xf>
    <xf numFmtId="49" fontId="13" fillId="0" borderId="3" xfId="26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26" applyNumberFormat="1" applyFont="1" applyFill="1" applyBorder="1" applyAlignment="1" applyProtection="1">
      <alignment horizontal="center" vertical="center"/>
    </xf>
    <xf numFmtId="4" fontId="9" fillId="0" borderId="3" xfId="26" applyNumberFormat="1" applyFont="1" applyFill="1" applyBorder="1" applyAlignment="1" applyProtection="1">
      <alignment horizontal="center" vertical="center"/>
    </xf>
    <xf numFmtId="167" fontId="9" fillId="0" borderId="3" xfId="26" applyNumberFormat="1" applyFont="1" applyFill="1" applyBorder="1" applyAlignment="1" applyProtection="1">
      <alignment horizontal="center" vertical="center"/>
    </xf>
    <xf numFmtId="49" fontId="13" fillId="0" borderId="3" xfId="26" applyNumberFormat="1" applyFont="1" applyFill="1" applyBorder="1" applyAlignment="1">
      <alignment horizontal="center" vertical="center" wrapText="1"/>
    </xf>
    <xf numFmtId="4" fontId="9" fillId="0" borderId="3" xfId="26" applyNumberFormat="1" applyFont="1" applyFill="1" applyBorder="1" applyAlignment="1">
      <alignment horizontal="center" vertical="center" wrapText="1"/>
    </xf>
    <xf numFmtId="2" fontId="9" fillId="0" borderId="3" xfId="26" applyNumberFormat="1" applyFont="1" applyFill="1" applyBorder="1" applyAlignment="1">
      <alignment horizontal="center" vertical="center" wrapText="1"/>
    </xf>
    <xf numFmtId="167" fontId="9" fillId="0" borderId="3" xfId="26" applyNumberFormat="1" applyFont="1" applyFill="1" applyBorder="1" applyAlignment="1">
      <alignment horizontal="center" vertical="center" wrapText="1"/>
    </xf>
    <xf numFmtId="166" fontId="9" fillId="0" borderId="3" xfId="26" applyNumberFormat="1" applyFont="1" applyFill="1" applyBorder="1" applyAlignment="1" applyProtection="1">
      <alignment horizontal="center" vertical="center"/>
    </xf>
    <xf numFmtId="167" fontId="15" fillId="0" borderId="3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0" fontId="9" fillId="0" borderId="3" xfId="27" applyNumberFormat="1" applyFont="1" applyFill="1" applyBorder="1" applyAlignment="1">
      <alignment horizontal="center" vertical="center" wrapText="1"/>
    </xf>
    <xf numFmtId="0" fontId="9" fillId="0" borderId="3" xfId="26" applyNumberFormat="1" applyFont="1" applyFill="1" applyBorder="1" applyAlignment="1">
      <alignment horizontal="center" vertical="center"/>
    </xf>
    <xf numFmtId="172" fontId="9" fillId="0" borderId="3" xfId="26" applyNumberFormat="1" applyFont="1" applyFill="1" applyBorder="1" applyAlignment="1">
      <alignment horizontal="center" vertical="center"/>
    </xf>
    <xf numFmtId="170" fontId="9" fillId="0" borderId="3" xfId="26" applyNumberFormat="1" applyFont="1" applyFill="1" applyBorder="1" applyAlignment="1">
      <alignment horizontal="center" vertical="center"/>
    </xf>
    <xf numFmtId="167" fontId="13" fillId="0" borderId="3" xfId="26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7" fillId="0" borderId="0" xfId="26" applyFont="1" applyFill="1" applyAlignment="1">
      <alignment horizontal="left"/>
    </xf>
    <xf numFmtId="0" fontId="17" fillId="0" borderId="0" xfId="26" applyFont="1" applyFill="1" applyAlignment="1">
      <alignment horizontal="center" vertical="center"/>
    </xf>
    <xf numFmtId="4" fontId="17" fillId="0" borderId="0" xfId="26" applyNumberFormat="1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9" fillId="0" borderId="0" xfId="3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3" fillId="0" borderId="2" xfId="26" applyNumberFormat="1" applyFont="1" applyFill="1" applyBorder="1" applyAlignment="1">
      <alignment horizontal="center" vertical="center" wrapText="1"/>
    </xf>
    <xf numFmtId="0" fontId="13" fillId="0" borderId="2" xfId="26" applyNumberFormat="1" applyFont="1" applyFill="1" applyBorder="1" applyAlignment="1">
      <alignment horizontal="center" vertical="top"/>
    </xf>
    <xf numFmtId="0" fontId="13" fillId="0" borderId="2" xfId="26" applyNumberFormat="1" applyFont="1" applyFill="1" applyBorder="1" applyAlignment="1">
      <alignment horizontal="center" vertical="center"/>
    </xf>
    <xf numFmtId="49" fontId="9" fillId="0" borderId="4" xfId="26" applyNumberFormat="1" applyFont="1" applyFill="1" applyBorder="1" applyAlignment="1">
      <alignment horizontal="center" vertical="center"/>
    </xf>
    <xf numFmtId="49" fontId="9" fillId="0" borderId="4" xfId="26" applyNumberFormat="1" applyFont="1" applyFill="1" applyBorder="1" applyAlignment="1">
      <alignment horizontal="center" vertical="center" wrapText="1"/>
    </xf>
    <xf numFmtId="165" fontId="9" fillId="0" borderId="4" xfId="26" applyNumberFormat="1" applyFont="1" applyFill="1" applyBorder="1" applyAlignment="1">
      <alignment horizontal="center" vertical="center"/>
    </xf>
    <xf numFmtId="4" fontId="9" fillId="0" borderId="4" xfId="26" applyNumberFormat="1" applyFont="1" applyFill="1" applyBorder="1" applyAlignment="1">
      <alignment horizontal="center" vertical="center"/>
    </xf>
    <xf numFmtId="4" fontId="9" fillId="0" borderId="4" xfId="26" applyNumberFormat="1" applyFont="1" applyFill="1" applyBorder="1" applyAlignment="1" applyProtection="1">
      <alignment horizontal="center" vertical="center"/>
      <protection locked="0"/>
    </xf>
    <xf numFmtId="165" fontId="13" fillId="0" borderId="4" xfId="26" applyNumberFormat="1" applyFont="1" applyFill="1" applyBorder="1" applyAlignment="1">
      <alignment horizontal="center" vertical="center"/>
    </xf>
    <xf numFmtId="49" fontId="13" fillId="0" borderId="20" xfId="26" applyNumberFormat="1" applyFont="1" applyFill="1" applyBorder="1" applyAlignment="1">
      <alignment horizontal="center" vertical="center"/>
    </xf>
    <xf numFmtId="165" fontId="13" fillId="0" borderId="20" xfId="26" applyNumberFormat="1" applyFont="1" applyFill="1" applyBorder="1" applyAlignment="1">
      <alignment horizontal="center" vertical="center"/>
    </xf>
    <xf numFmtId="4" fontId="13" fillId="0" borderId="20" xfId="26" applyNumberFormat="1" applyFont="1" applyFill="1" applyBorder="1" applyAlignment="1">
      <alignment horizontal="center" vertical="center"/>
    </xf>
    <xf numFmtId="165" fontId="13" fillId="0" borderId="20" xfId="26" applyNumberFormat="1" applyFont="1" applyFill="1" applyBorder="1" applyAlignment="1" applyProtection="1">
      <alignment horizontal="center" vertical="center"/>
      <protection locked="0"/>
    </xf>
    <xf numFmtId="4" fontId="13" fillId="0" borderId="20" xfId="26" applyNumberFormat="1" applyFont="1" applyFill="1" applyBorder="1" applyAlignment="1" applyProtection="1">
      <alignment horizontal="center" vertical="center"/>
    </xf>
    <xf numFmtId="167" fontId="13" fillId="0" borderId="20" xfId="26" applyNumberFormat="1" applyFont="1" applyFill="1" applyBorder="1" applyAlignment="1" applyProtection="1">
      <alignment horizontal="center" vertical="center"/>
    </xf>
    <xf numFmtId="4" fontId="13" fillId="0" borderId="21" xfId="26" applyNumberFormat="1" applyFont="1" applyFill="1" applyBorder="1" applyAlignment="1" applyProtection="1">
      <alignment horizontal="center" vertical="center"/>
    </xf>
    <xf numFmtId="165" fontId="13" fillId="0" borderId="23" xfId="26" applyNumberFormat="1" applyFont="1" applyFill="1" applyBorder="1" applyAlignment="1">
      <alignment horizontal="center" vertical="center"/>
    </xf>
    <xf numFmtId="49" fontId="13" fillId="0" borderId="2" xfId="26" applyNumberFormat="1" applyFont="1" applyFill="1" applyBorder="1" applyAlignment="1">
      <alignment horizontal="left" vertical="center" wrapText="1"/>
    </xf>
    <xf numFmtId="49" fontId="9" fillId="0" borderId="2" xfId="26" applyNumberFormat="1" applyFont="1" applyFill="1" applyBorder="1" applyAlignment="1">
      <alignment horizontal="left" vertical="center" wrapText="1"/>
    </xf>
    <xf numFmtId="165" fontId="9" fillId="0" borderId="23" xfId="26" applyNumberFormat="1" applyFont="1" applyFill="1" applyBorder="1" applyAlignment="1">
      <alignment horizontal="center" vertical="center"/>
    </xf>
    <xf numFmtId="49" fontId="9" fillId="0" borderId="7" xfId="26" applyNumberFormat="1" applyFont="1" applyFill="1" applyBorder="1" applyAlignment="1">
      <alignment horizontal="center" vertical="center" wrapText="1"/>
    </xf>
    <xf numFmtId="4" fontId="9" fillId="0" borderId="7" xfId="26" applyNumberFormat="1" applyFont="1" applyFill="1" applyBorder="1" applyAlignment="1">
      <alignment horizontal="center" vertical="center" wrapText="1"/>
    </xf>
    <xf numFmtId="49" fontId="9" fillId="0" borderId="27" xfId="26" applyNumberFormat="1" applyFont="1" applyFill="1" applyBorder="1" applyAlignment="1">
      <alignment horizontal="center" vertical="center" wrapText="1"/>
    </xf>
    <xf numFmtId="2" fontId="9" fillId="0" borderId="7" xfId="26" applyNumberFormat="1" applyFont="1" applyFill="1" applyBorder="1" applyAlignment="1">
      <alignment horizontal="center" vertical="center" wrapText="1"/>
    </xf>
    <xf numFmtId="2" fontId="9" fillId="0" borderId="27" xfId="26" applyNumberFormat="1" applyFont="1" applyFill="1" applyBorder="1" applyAlignment="1">
      <alignment horizontal="center" vertical="center" wrapText="1"/>
    </xf>
    <xf numFmtId="165" fontId="13" fillId="0" borderId="5" xfId="26" applyNumberFormat="1" applyFont="1" applyFill="1" applyBorder="1" applyAlignment="1">
      <alignment horizontal="center" vertical="center"/>
    </xf>
    <xf numFmtId="4" fontId="13" fillId="0" borderId="5" xfId="26" applyNumberFormat="1" applyFont="1" applyFill="1" applyBorder="1" applyAlignment="1">
      <alignment horizontal="center" vertical="center"/>
    </xf>
    <xf numFmtId="165" fontId="13" fillId="0" borderId="5" xfId="26" applyNumberFormat="1" applyFont="1" applyFill="1" applyBorder="1" applyAlignment="1" applyProtection="1">
      <alignment horizontal="center" vertical="center"/>
      <protection locked="0"/>
    </xf>
    <xf numFmtId="165" fontId="9" fillId="0" borderId="5" xfId="26" applyNumberFormat="1" applyFont="1" applyFill="1" applyBorder="1" applyAlignment="1">
      <alignment horizontal="center" vertical="center"/>
    </xf>
    <xf numFmtId="4" fontId="9" fillId="0" borderId="5" xfId="26" applyNumberFormat="1" applyFont="1" applyFill="1" applyBorder="1" applyAlignment="1">
      <alignment horizontal="center" vertical="center"/>
    </xf>
    <xf numFmtId="165" fontId="9" fillId="0" borderId="5" xfId="26" applyNumberFormat="1" applyFont="1" applyFill="1" applyBorder="1" applyAlignment="1" applyProtection="1">
      <alignment horizontal="center" vertical="center"/>
      <protection locked="0"/>
    </xf>
    <xf numFmtId="4" fontId="9" fillId="0" borderId="5" xfId="26" applyNumberFormat="1" applyFont="1" applyFill="1" applyBorder="1" applyAlignment="1" applyProtection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165" fontId="34" fillId="0" borderId="3" xfId="26" applyNumberFormat="1" applyFont="1" applyFill="1" applyBorder="1" applyAlignment="1" applyProtection="1">
      <alignment horizontal="center" vertical="center"/>
      <protection locked="0"/>
    </xf>
    <xf numFmtId="2" fontId="35" fillId="0" borderId="3" xfId="26" applyNumberFormat="1" applyFont="1" applyFill="1" applyBorder="1" applyAlignment="1">
      <alignment horizontal="center" vertical="center"/>
    </xf>
    <xf numFmtId="49" fontId="9" fillId="0" borderId="31" xfId="26" applyNumberFormat="1" applyFont="1" applyFill="1" applyBorder="1" applyAlignment="1">
      <alignment horizontal="center" vertical="center"/>
    </xf>
    <xf numFmtId="43" fontId="0" fillId="0" borderId="0" xfId="65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167" fontId="9" fillId="0" borderId="3" xfId="26" applyNumberFormat="1" applyFont="1" applyFill="1" applyBorder="1" applyAlignment="1">
      <alignment horizontal="center" vertical="center"/>
    </xf>
    <xf numFmtId="43" fontId="37" fillId="0" borderId="0" xfId="65" applyFont="1" applyFill="1" applyAlignment="1">
      <alignment horizontal="center" vertical="center"/>
    </xf>
    <xf numFmtId="43" fontId="37" fillId="0" borderId="0" xfId="0" applyNumberFormat="1" applyFont="1" applyFill="1" applyAlignment="1">
      <alignment horizontal="center" vertical="center"/>
    </xf>
    <xf numFmtId="0" fontId="11" fillId="3" borderId="0" xfId="29" applyFont="1" applyFill="1"/>
    <xf numFmtId="0" fontId="11" fillId="3" borderId="3" xfId="0" applyFont="1" applyFill="1" applyBorder="1" applyAlignment="1">
      <alignment horizontal="center" vertical="center" wrapText="1"/>
    </xf>
    <xf numFmtId="0" fontId="11" fillId="3" borderId="3" xfId="29" applyFont="1" applyFill="1" applyBorder="1" applyAlignment="1">
      <alignment horizontal="center" vertical="top"/>
    </xf>
    <xf numFmtId="0" fontId="11" fillId="3" borderId="0" xfId="29" applyFont="1" applyFill="1" applyAlignment="1">
      <alignment horizontal="justify" vertical="center"/>
    </xf>
    <xf numFmtId="0" fontId="3" fillId="3" borderId="0" xfId="29" applyFont="1" applyFill="1"/>
    <xf numFmtId="0" fontId="3" fillId="3" borderId="0" xfId="29" applyFont="1" applyFill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165" fontId="42" fillId="0" borderId="0" xfId="0" applyNumberFormat="1" applyFont="1"/>
    <xf numFmtId="0" fontId="41" fillId="0" borderId="0" xfId="0" applyFont="1" applyFill="1"/>
    <xf numFmtId="0" fontId="41" fillId="0" borderId="0" xfId="0" applyFont="1" applyAlignment="1">
      <alignment horizontal="right"/>
    </xf>
    <xf numFmtId="0" fontId="41" fillId="0" borderId="3" xfId="0" applyFont="1" applyBorder="1" applyAlignment="1">
      <alignment horizontal="center" vertical="center" wrapText="1"/>
    </xf>
    <xf numFmtId="0" fontId="11" fillId="3" borderId="2" xfId="29" applyFont="1" applyFill="1" applyBorder="1" applyAlignment="1">
      <alignment horizontal="center" vertical="center"/>
    </xf>
    <xf numFmtId="0" fontId="11" fillId="3" borderId="3" xfId="29" applyFont="1" applyFill="1" applyBorder="1" applyAlignment="1">
      <alignment horizontal="center" vertical="center" wrapText="1"/>
    </xf>
    <xf numFmtId="0" fontId="11" fillId="3" borderId="3" xfId="29" applyFont="1" applyFill="1" applyBorder="1" applyAlignment="1">
      <alignment horizontal="center" vertical="center"/>
    </xf>
    <xf numFmtId="0" fontId="11" fillId="3" borderId="4" xfId="29" applyFont="1" applyFill="1" applyBorder="1" applyAlignment="1">
      <alignment horizontal="center" vertical="center" wrapText="1"/>
    </xf>
    <xf numFmtId="0" fontId="11" fillId="3" borderId="4" xfId="29" applyFont="1" applyFill="1" applyBorder="1" applyAlignment="1">
      <alignment horizontal="center" vertical="center"/>
    </xf>
    <xf numFmtId="0" fontId="11" fillId="3" borderId="5" xfId="29" applyFont="1" applyFill="1" applyBorder="1" applyAlignment="1">
      <alignment horizontal="center" vertical="center" wrapText="1"/>
    </xf>
    <xf numFmtId="0" fontId="11" fillId="3" borderId="2" xfId="29" applyFont="1" applyFill="1" applyBorder="1" applyAlignment="1">
      <alignment horizontal="center" vertical="center" wrapText="1"/>
    </xf>
    <xf numFmtId="0" fontId="11" fillId="3" borderId="0" xfId="29" applyFont="1" applyFill="1" applyBorder="1"/>
    <xf numFmtId="0" fontId="3" fillId="3" borderId="3" xfId="26" applyFont="1" applyFill="1" applyBorder="1" applyAlignment="1">
      <alignment horizontal="center" vertical="center"/>
    </xf>
    <xf numFmtId="0" fontId="3" fillId="3" borderId="0" xfId="26" applyFont="1" applyFill="1" applyAlignment="1">
      <alignment horizontal="left" vertical="top" wrapText="1"/>
    </xf>
    <xf numFmtId="0" fontId="4" fillId="3" borderId="5" xfId="26" applyNumberFormat="1" applyFont="1" applyFill="1" applyBorder="1" applyAlignment="1">
      <alignment horizontal="center" vertical="top" wrapText="1"/>
    </xf>
    <xf numFmtId="0" fontId="45" fillId="3" borderId="0" xfId="26" applyFont="1" applyFill="1" applyAlignment="1">
      <alignment horizontal="center" vertical="center" wrapText="1"/>
    </xf>
    <xf numFmtId="0" fontId="4" fillId="3" borderId="3" xfId="26" applyNumberFormat="1" applyFont="1" applyFill="1" applyBorder="1" applyAlignment="1">
      <alignment horizontal="center" vertical="top" wrapText="1"/>
    </xf>
    <xf numFmtId="0" fontId="3" fillId="3" borderId="0" xfId="26" applyFont="1" applyFill="1" applyBorder="1" applyAlignment="1">
      <alignment horizontal="center"/>
    </xf>
    <xf numFmtId="0" fontId="44" fillId="3" borderId="0" xfId="26" applyFont="1" applyFill="1" applyAlignment="1">
      <alignment horizontal="center"/>
    </xf>
    <xf numFmtId="0" fontId="4" fillId="3" borderId="3" xfId="26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13" fillId="0" borderId="3" xfId="26" applyNumberFormat="1" applyFont="1" applyFill="1" applyBorder="1" applyAlignment="1">
      <alignment horizontal="left" vertical="center" wrapText="1"/>
    </xf>
    <xf numFmtId="49" fontId="9" fillId="0" borderId="3" xfId="26" applyNumberFormat="1" applyFont="1" applyFill="1" applyBorder="1" applyAlignment="1">
      <alignment horizontal="left" vertical="top" wrapText="1"/>
    </xf>
    <xf numFmtId="49" fontId="9" fillId="0" borderId="3" xfId="26" applyNumberFormat="1" applyFont="1" applyFill="1" applyBorder="1" applyAlignment="1">
      <alignment horizontal="left" vertical="center" wrapText="1" indent="3"/>
    </xf>
    <xf numFmtId="49" fontId="14" fillId="0" borderId="3" xfId="26" applyNumberFormat="1" applyFont="1" applyFill="1" applyBorder="1" applyAlignment="1">
      <alignment horizontal="left" vertical="center" wrapText="1"/>
    </xf>
    <xf numFmtId="0" fontId="9" fillId="0" borderId="3" xfId="26" applyFont="1" applyFill="1" applyBorder="1" applyAlignment="1">
      <alignment horizontal="left" vertical="center" wrapText="1" indent="3"/>
    </xf>
    <xf numFmtId="49" fontId="9" fillId="0" borderId="3" xfId="26" applyNumberFormat="1" applyFont="1" applyFill="1" applyBorder="1" applyAlignment="1">
      <alignment horizontal="left" vertical="center" wrapText="1"/>
    </xf>
    <xf numFmtId="0" fontId="12" fillId="0" borderId="3" xfId="26" applyNumberFormat="1" applyFont="1" applyFill="1" applyBorder="1" applyAlignment="1">
      <alignment horizontal="center" vertical="center" wrapText="1"/>
    </xf>
    <xf numFmtId="0" fontId="48" fillId="0" borderId="0" xfId="26" applyFont="1" applyFill="1" applyAlignment="1">
      <alignment horizontal="center" vertical="center" wrapText="1"/>
    </xf>
    <xf numFmtId="0" fontId="47" fillId="0" borderId="0" xfId="26" applyFont="1" applyFill="1" applyAlignment="1">
      <alignment horizontal="center"/>
    </xf>
    <xf numFmtId="0" fontId="13" fillId="0" borderId="3" xfId="26" applyNumberFormat="1" applyFont="1" applyFill="1" applyBorder="1" applyAlignment="1">
      <alignment horizontal="center" vertical="center" wrapText="1"/>
    </xf>
    <xf numFmtId="49" fontId="13" fillId="0" borderId="3" xfId="26" applyNumberFormat="1" applyFont="1" applyFill="1" applyBorder="1" applyAlignment="1">
      <alignment horizontal="left" vertical="top" wrapText="1"/>
    </xf>
    <xf numFmtId="49" fontId="14" fillId="0" borderId="3" xfId="26" applyNumberFormat="1" applyFont="1" applyFill="1" applyBorder="1" applyAlignment="1">
      <alignment horizontal="center" vertical="center" wrapText="1"/>
    </xf>
    <xf numFmtId="0" fontId="13" fillId="0" borderId="3" xfId="26" applyNumberFormat="1" applyFont="1" applyFill="1" applyBorder="1" applyAlignment="1">
      <alignment horizontal="center" vertical="top"/>
    </xf>
    <xf numFmtId="0" fontId="13" fillId="0" borderId="3" xfId="26" applyFont="1" applyFill="1" applyBorder="1" applyAlignment="1">
      <alignment horizontal="left" vertical="top" wrapText="1"/>
    </xf>
    <xf numFmtId="0" fontId="9" fillId="0" borderId="3" xfId="26" applyFont="1" applyFill="1" applyBorder="1" applyAlignment="1">
      <alignment horizontal="left" vertical="center" wrapText="1"/>
    </xf>
    <xf numFmtId="0" fontId="14" fillId="0" borderId="3" xfId="26" applyFont="1" applyFill="1" applyBorder="1" applyAlignment="1">
      <alignment horizontal="center" vertical="center" wrapText="1"/>
    </xf>
    <xf numFmtId="49" fontId="9" fillId="0" borderId="3" xfId="26" applyNumberFormat="1" applyFont="1" applyFill="1" applyBorder="1" applyAlignment="1">
      <alignment horizontal="left" vertical="center" textRotation="90" wrapText="1"/>
    </xf>
    <xf numFmtId="0" fontId="17" fillId="0" borderId="0" xfId="26" applyFont="1" applyFill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0" fontId="9" fillId="0" borderId="0" xfId="26" applyFont="1" applyFill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0" xfId="26" applyFont="1" applyFill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17" fillId="0" borderId="0" xfId="26" applyFont="1" applyFill="1" applyAlignment="1">
      <alignment horizontal="left"/>
    </xf>
    <xf numFmtId="49" fontId="13" fillId="0" borderId="6" xfId="26" applyNumberFormat="1" applyFont="1" applyFill="1" applyBorder="1" applyAlignment="1">
      <alignment horizontal="left" vertical="center" wrapText="1"/>
    </xf>
    <xf numFmtId="49" fontId="13" fillId="0" borderId="7" xfId="26" applyNumberFormat="1" applyFont="1" applyFill="1" applyBorder="1" applyAlignment="1">
      <alignment horizontal="left" vertical="center" wrapText="1"/>
    </xf>
    <xf numFmtId="49" fontId="9" fillId="0" borderId="2" xfId="26" applyNumberFormat="1" applyFont="1" applyFill="1" applyBorder="1" applyAlignment="1">
      <alignment horizontal="left" vertical="top" wrapText="1"/>
    </xf>
    <xf numFmtId="49" fontId="9" fillId="0" borderId="6" xfId="26" applyNumberFormat="1" applyFont="1" applyFill="1" applyBorder="1" applyAlignment="1">
      <alignment horizontal="left" vertical="top" wrapText="1"/>
    </xf>
    <xf numFmtId="49" fontId="9" fillId="0" borderId="7" xfId="26" applyNumberFormat="1" applyFont="1" applyFill="1" applyBorder="1" applyAlignment="1">
      <alignment horizontal="left" vertical="top" wrapText="1"/>
    </xf>
    <xf numFmtId="0" fontId="9" fillId="0" borderId="22" xfId="26" applyFont="1" applyFill="1" applyBorder="1" applyAlignment="1">
      <alignment horizontal="left" vertical="center" wrapText="1" indent="3"/>
    </xf>
    <xf numFmtId="0" fontId="9" fillId="0" borderId="6" xfId="26" applyFont="1" applyFill="1" applyBorder="1" applyAlignment="1">
      <alignment horizontal="left" vertical="center" wrapText="1" indent="3"/>
    </xf>
    <xf numFmtId="0" fontId="9" fillId="0" borderId="7" xfId="26" applyFont="1" applyFill="1" applyBorder="1" applyAlignment="1">
      <alignment horizontal="left" vertical="center" wrapText="1" indent="3"/>
    </xf>
    <xf numFmtId="49" fontId="9" fillId="0" borderId="22" xfId="26" applyNumberFormat="1" applyFont="1" applyFill="1" applyBorder="1" applyAlignment="1">
      <alignment horizontal="left" vertical="center" wrapText="1" indent="3"/>
    </xf>
    <xf numFmtId="49" fontId="9" fillId="0" borderId="6" xfId="26" applyNumberFormat="1" applyFont="1" applyFill="1" applyBorder="1" applyAlignment="1">
      <alignment horizontal="left" vertical="center" wrapText="1" indent="3"/>
    </xf>
    <xf numFmtId="49" fontId="9" fillId="0" borderId="7" xfId="26" applyNumberFormat="1" applyFont="1" applyFill="1" applyBorder="1" applyAlignment="1">
      <alignment horizontal="left" vertical="center" wrapText="1" indent="3"/>
    </xf>
    <xf numFmtId="49" fontId="9" fillId="0" borderId="22" xfId="26" applyNumberFormat="1" applyFont="1" applyFill="1" applyBorder="1" applyAlignment="1">
      <alignment horizontal="left" vertical="center" wrapText="1"/>
    </xf>
    <xf numFmtId="49" fontId="9" fillId="0" borderId="6" xfId="26" applyNumberFormat="1" applyFont="1" applyFill="1" applyBorder="1" applyAlignment="1">
      <alignment horizontal="left" vertical="center" wrapText="1"/>
    </xf>
    <xf numFmtId="49" fontId="9" fillId="0" borderId="7" xfId="26" applyNumberFormat="1" applyFont="1" applyFill="1" applyBorder="1" applyAlignment="1">
      <alignment horizontal="left" vertical="center" wrapText="1"/>
    </xf>
    <xf numFmtId="49" fontId="14" fillId="0" borderId="2" xfId="26" applyNumberFormat="1" applyFont="1" applyFill="1" applyBorder="1" applyAlignment="1">
      <alignment horizontal="left" vertical="center" wrapText="1"/>
    </xf>
    <xf numFmtId="49" fontId="14" fillId="0" borderId="6" xfId="26" applyNumberFormat="1" applyFont="1" applyFill="1" applyBorder="1" applyAlignment="1">
      <alignment horizontal="left" vertical="center" wrapText="1"/>
    </xf>
    <xf numFmtId="49" fontId="14" fillId="0" borderId="7" xfId="26" applyNumberFormat="1" applyFont="1" applyFill="1" applyBorder="1" applyAlignment="1">
      <alignment horizontal="left" vertical="center" wrapText="1"/>
    </xf>
    <xf numFmtId="49" fontId="9" fillId="0" borderId="2" xfId="26" applyNumberFormat="1" applyFont="1" applyFill="1" applyBorder="1" applyAlignment="1">
      <alignment horizontal="left" vertical="center" wrapText="1"/>
    </xf>
    <xf numFmtId="49" fontId="9" fillId="0" borderId="32" xfId="26" applyNumberFormat="1" applyFont="1" applyFill="1" applyBorder="1" applyAlignment="1">
      <alignment horizontal="left" vertical="center" wrapText="1"/>
    </xf>
    <xf numFmtId="49" fontId="9" fillId="0" borderId="8" xfId="26" applyNumberFormat="1" applyFont="1" applyFill="1" applyBorder="1" applyAlignment="1">
      <alignment horizontal="left" vertical="center" wrapText="1"/>
    </xf>
    <xf numFmtId="49" fontId="9" fillId="0" borderId="10" xfId="26" applyNumberFormat="1" applyFont="1" applyFill="1" applyBorder="1" applyAlignment="1">
      <alignment horizontal="left" vertical="center" wrapText="1"/>
    </xf>
    <xf numFmtId="49" fontId="9" fillId="0" borderId="33" xfId="26" applyNumberFormat="1" applyFont="1" applyFill="1" applyBorder="1" applyAlignment="1">
      <alignment horizontal="left" vertical="center" wrapText="1"/>
    </xf>
    <xf numFmtId="49" fontId="9" fillId="0" borderId="0" xfId="26" applyNumberFormat="1" applyFont="1" applyFill="1" applyBorder="1" applyAlignment="1">
      <alignment horizontal="left" vertical="center" wrapText="1"/>
    </xf>
    <xf numFmtId="49" fontId="9" fillId="0" borderId="12" xfId="26" applyNumberFormat="1" applyFont="1" applyFill="1" applyBorder="1" applyAlignment="1">
      <alignment horizontal="left" vertical="center" wrapText="1"/>
    </xf>
    <xf numFmtId="49" fontId="9" fillId="0" borderId="34" xfId="26" applyNumberFormat="1" applyFont="1" applyFill="1" applyBorder="1" applyAlignment="1">
      <alignment horizontal="left" vertical="center" wrapText="1"/>
    </xf>
    <xf numFmtId="49" fontId="9" fillId="0" borderId="14" xfId="26" applyNumberFormat="1" applyFont="1" applyFill="1" applyBorder="1" applyAlignment="1">
      <alignment horizontal="left" vertical="center" wrapText="1"/>
    </xf>
    <xf numFmtId="49" fontId="9" fillId="0" borderId="15" xfId="26" applyNumberFormat="1" applyFont="1" applyFill="1" applyBorder="1" applyAlignment="1">
      <alignment horizontal="left" vertical="center" wrapText="1"/>
    </xf>
    <xf numFmtId="49" fontId="9" fillId="0" borderId="28" xfId="26" applyNumberFormat="1" applyFont="1" applyFill="1" applyBorder="1" applyAlignment="1">
      <alignment horizontal="left" vertical="center" wrapText="1" indent="3"/>
    </xf>
    <xf numFmtId="49" fontId="9" fillId="0" borderId="29" xfId="26" applyNumberFormat="1" applyFont="1" applyFill="1" applyBorder="1" applyAlignment="1">
      <alignment horizontal="left" vertical="center" wrapText="1" indent="3"/>
    </xf>
    <xf numFmtId="49" fontId="9" fillId="0" borderId="30" xfId="26" applyNumberFormat="1" applyFont="1" applyFill="1" applyBorder="1" applyAlignment="1">
      <alignment horizontal="left" vertical="center" wrapText="1" indent="3"/>
    </xf>
    <xf numFmtId="49" fontId="13" fillId="0" borderId="2" xfId="26" applyNumberFormat="1" applyFont="1" applyFill="1" applyBorder="1" applyAlignment="1">
      <alignment horizontal="left" vertical="center" wrapText="1"/>
    </xf>
    <xf numFmtId="49" fontId="13" fillId="0" borderId="22" xfId="26" applyNumberFormat="1" applyFont="1" applyFill="1" applyBorder="1" applyAlignment="1">
      <alignment horizontal="left" vertical="center" wrapText="1"/>
    </xf>
    <xf numFmtId="49" fontId="9" fillId="0" borderId="24" xfId="26" applyNumberFormat="1" applyFont="1" applyFill="1" applyBorder="1" applyAlignment="1">
      <alignment horizontal="left" vertical="center" wrapText="1"/>
    </xf>
    <xf numFmtId="49" fontId="9" fillId="0" borderId="25" xfId="26" applyNumberFormat="1" applyFont="1" applyFill="1" applyBorder="1" applyAlignment="1">
      <alignment horizontal="left" vertical="center" wrapText="1"/>
    </xf>
    <xf numFmtId="49" fontId="9" fillId="0" borderId="26" xfId="26" applyNumberFormat="1" applyFont="1" applyFill="1" applyBorder="1" applyAlignment="1">
      <alignment horizontal="left" vertical="center" wrapText="1"/>
    </xf>
    <xf numFmtId="49" fontId="9" fillId="0" borderId="4" xfId="26" applyNumberFormat="1" applyFont="1" applyFill="1" applyBorder="1" applyAlignment="1">
      <alignment horizontal="left" vertical="center" textRotation="90" wrapText="1"/>
    </xf>
    <xf numFmtId="49" fontId="9" fillId="0" borderId="16" xfId="26" applyNumberFormat="1" applyFont="1" applyFill="1" applyBorder="1" applyAlignment="1">
      <alignment horizontal="left" vertical="center" textRotation="90" wrapText="1"/>
    </xf>
    <xf numFmtId="49" fontId="9" fillId="0" borderId="5" xfId="26" applyNumberFormat="1" applyFont="1" applyFill="1" applyBorder="1" applyAlignment="1">
      <alignment horizontal="left" vertical="center" textRotation="90" wrapText="1"/>
    </xf>
    <xf numFmtId="49" fontId="9" fillId="0" borderId="9" xfId="26" applyNumberFormat="1" applyFont="1" applyFill="1" applyBorder="1" applyAlignment="1">
      <alignment horizontal="left" vertical="center" wrapText="1"/>
    </xf>
    <xf numFmtId="49" fontId="9" fillId="0" borderId="13" xfId="26" applyNumberFormat="1" applyFont="1" applyFill="1" applyBorder="1" applyAlignment="1">
      <alignment horizontal="left" vertical="center" wrapText="1"/>
    </xf>
    <xf numFmtId="49" fontId="14" fillId="0" borderId="9" xfId="26" applyNumberFormat="1" applyFont="1" applyFill="1" applyBorder="1" applyAlignment="1">
      <alignment horizontal="center" vertical="center" wrapText="1"/>
    </xf>
    <xf numFmtId="49" fontId="14" fillId="0" borderId="8" xfId="26" applyNumberFormat="1" applyFont="1" applyFill="1" applyBorder="1" applyAlignment="1">
      <alignment horizontal="center" vertical="center" wrapText="1"/>
    </xf>
    <xf numFmtId="49" fontId="14" fillId="0" borderId="10" xfId="26" applyNumberFormat="1" applyFont="1" applyFill="1" applyBorder="1" applyAlignment="1">
      <alignment horizontal="center" vertical="center" wrapText="1"/>
    </xf>
    <xf numFmtId="49" fontId="14" fillId="0" borderId="13" xfId="26" applyNumberFormat="1" applyFont="1" applyFill="1" applyBorder="1" applyAlignment="1">
      <alignment horizontal="center" vertical="center" wrapText="1"/>
    </xf>
    <xf numFmtId="49" fontId="14" fillId="0" borderId="14" xfId="26" applyNumberFormat="1" applyFont="1" applyFill="1" applyBorder="1" applyAlignment="1">
      <alignment horizontal="center" vertical="center" wrapText="1"/>
    </xf>
    <xf numFmtId="49" fontId="14" fillId="0" borderId="15" xfId="26" applyNumberFormat="1" applyFont="1" applyFill="1" applyBorder="1" applyAlignment="1">
      <alignment horizontal="center" vertical="center" wrapText="1"/>
    </xf>
    <xf numFmtId="49" fontId="13" fillId="0" borderId="17" xfId="26" applyNumberFormat="1" applyFont="1" applyFill="1" applyBorder="1" applyAlignment="1">
      <alignment horizontal="left" vertical="center" wrapText="1"/>
    </xf>
    <xf numFmtId="49" fontId="13" fillId="0" borderId="18" xfId="26" applyNumberFormat="1" applyFont="1" applyFill="1" applyBorder="1" applyAlignment="1">
      <alignment horizontal="left" vertical="center" wrapText="1"/>
    </xf>
    <xf numFmtId="49" fontId="13" fillId="0" borderId="19" xfId="26" applyNumberFormat="1" applyFont="1" applyFill="1" applyBorder="1" applyAlignment="1">
      <alignment horizontal="left" vertical="center" wrapText="1"/>
    </xf>
    <xf numFmtId="49" fontId="14" fillId="0" borderId="2" xfId="26" applyNumberFormat="1" applyFont="1" applyFill="1" applyBorder="1" applyAlignment="1">
      <alignment horizontal="center" vertical="center" wrapText="1"/>
    </xf>
    <xf numFmtId="49" fontId="14" fillId="0" borderId="6" xfId="26" applyNumberFormat="1" applyFont="1" applyFill="1" applyBorder="1" applyAlignment="1">
      <alignment horizontal="center" vertical="center" wrapText="1"/>
    </xf>
    <xf numFmtId="49" fontId="14" fillId="0" borderId="7" xfId="26" applyNumberFormat="1" applyFont="1" applyFill="1" applyBorder="1" applyAlignment="1">
      <alignment horizontal="center" vertical="center" wrapText="1"/>
    </xf>
    <xf numFmtId="49" fontId="13" fillId="0" borderId="2" xfId="26" applyNumberFormat="1" applyFont="1" applyFill="1" applyBorder="1" applyAlignment="1">
      <alignment horizontal="left" vertical="top" wrapText="1"/>
    </xf>
    <xf numFmtId="49" fontId="13" fillId="0" borderId="6" xfId="26" applyNumberFormat="1" applyFont="1" applyFill="1" applyBorder="1" applyAlignment="1">
      <alignment horizontal="left" vertical="top" wrapText="1"/>
    </xf>
    <xf numFmtId="49" fontId="13" fillId="0" borderId="7" xfId="26" applyNumberFormat="1" applyFont="1" applyFill="1" applyBorder="1" applyAlignment="1">
      <alignment horizontal="left" vertical="top" wrapText="1"/>
    </xf>
    <xf numFmtId="0" fontId="13" fillId="0" borderId="4" xfId="26" applyNumberFormat="1" applyFont="1" applyFill="1" applyBorder="1" applyAlignment="1">
      <alignment horizontal="center" vertical="center" wrapText="1"/>
    </xf>
    <xf numFmtId="0" fontId="13" fillId="0" borderId="5" xfId="26" applyNumberFormat="1" applyFont="1" applyFill="1" applyBorder="1" applyAlignment="1">
      <alignment horizontal="center" vertical="center" wrapText="1"/>
    </xf>
    <xf numFmtId="0" fontId="13" fillId="0" borderId="2" xfId="26" applyFont="1" applyFill="1" applyBorder="1" applyAlignment="1">
      <alignment horizontal="left" vertical="top" wrapText="1"/>
    </xf>
    <xf numFmtId="0" fontId="13" fillId="0" borderId="6" xfId="26" applyFont="1" applyFill="1" applyBorder="1" applyAlignment="1">
      <alignment horizontal="left" vertical="top" wrapText="1"/>
    </xf>
    <xf numFmtId="0" fontId="13" fillId="0" borderId="7" xfId="26" applyFont="1" applyFill="1" applyBorder="1" applyAlignment="1">
      <alignment horizontal="left" vertical="top" wrapText="1"/>
    </xf>
    <xf numFmtId="0" fontId="9" fillId="0" borderId="2" xfId="26" applyFont="1" applyFill="1" applyBorder="1" applyAlignment="1">
      <alignment horizontal="left" vertical="center" wrapText="1"/>
    </xf>
    <xf numFmtId="0" fontId="9" fillId="0" borderId="6" xfId="26" applyFont="1" applyFill="1" applyBorder="1" applyAlignment="1">
      <alignment horizontal="left" vertical="center" wrapText="1"/>
    </xf>
    <xf numFmtId="0" fontId="9" fillId="0" borderId="7" xfId="26" applyFont="1" applyFill="1" applyBorder="1" applyAlignment="1">
      <alignment horizontal="left" vertical="center" wrapText="1"/>
    </xf>
    <xf numFmtId="0" fontId="14" fillId="0" borderId="2" xfId="26" applyFont="1" applyFill="1" applyBorder="1" applyAlignment="1">
      <alignment horizontal="center" vertical="center" wrapText="1"/>
    </xf>
    <xf numFmtId="0" fontId="14" fillId="0" borderId="6" xfId="26" applyFont="1" applyFill="1" applyBorder="1" applyAlignment="1">
      <alignment horizontal="center" vertical="center" wrapText="1"/>
    </xf>
    <xf numFmtId="0" fontId="14" fillId="0" borderId="7" xfId="26" applyFont="1" applyFill="1" applyBorder="1" applyAlignment="1">
      <alignment horizontal="center" vertical="center" wrapText="1"/>
    </xf>
    <xf numFmtId="0" fontId="12" fillId="0" borderId="9" xfId="26" applyNumberFormat="1" applyFont="1" applyFill="1" applyBorder="1" applyAlignment="1">
      <alignment horizontal="center" vertical="center" wrapText="1"/>
    </xf>
    <xf numFmtId="0" fontId="12" fillId="0" borderId="8" xfId="26" applyNumberFormat="1" applyFont="1" applyFill="1" applyBorder="1" applyAlignment="1">
      <alignment horizontal="center" vertical="center" wrapText="1"/>
    </xf>
    <xf numFmtId="0" fontId="12" fillId="0" borderId="10" xfId="26" applyNumberFormat="1" applyFont="1" applyFill="1" applyBorder="1" applyAlignment="1">
      <alignment horizontal="center" vertical="center" wrapText="1"/>
    </xf>
    <xf numFmtId="0" fontId="12" fillId="0" borderId="11" xfId="26" applyNumberFormat="1" applyFont="1" applyFill="1" applyBorder="1" applyAlignment="1">
      <alignment horizontal="center" vertical="center" wrapText="1"/>
    </xf>
    <xf numFmtId="0" fontId="12" fillId="0" borderId="0" xfId="26" applyNumberFormat="1" applyFont="1" applyFill="1" applyBorder="1" applyAlignment="1">
      <alignment horizontal="center" vertical="center" wrapText="1"/>
    </xf>
    <xf numFmtId="0" fontId="12" fillId="0" borderId="12" xfId="26" applyNumberFormat="1" applyFont="1" applyFill="1" applyBorder="1" applyAlignment="1">
      <alignment horizontal="center" vertical="center" wrapText="1"/>
    </xf>
    <xf numFmtId="0" fontId="12" fillId="0" borderId="13" xfId="26" applyNumberFormat="1" applyFont="1" applyFill="1" applyBorder="1" applyAlignment="1">
      <alignment horizontal="center" vertical="center" wrapText="1"/>
    </xf>
    <xf numFmtId="0" fontId="12" fillId="0" borderId="14" xfId="26" applyNumberFormat="1" applyFont="1" applyFill="1" applyBorder="1" applyAlignment="1">
      <alignment horizontal="center" vertical="center" wrapText="1"/>
    </xf>
    <xf numFmtId="0" fontId="12" fillId="0" borderId="15" xfId="26" applyNumberFormat="1" applyFont="1" applyFill="1" applyBorder="1" applyAlignment="1">
      <alignment horizontal="center" vertical="center" wrapText="1"/>
    </xf>
    <xf numFmtId="0" fontId="13" fillId="0" borderId="9" xfId="26" applyNumberFormat="1" applyFont="1" applyFill="1" applyBorder="1" applyAlignment="1">
      <alignment horizontal="center" vertical="center" wrapText="1"/>
    </xf>
    <xf numFmtId="0" fontId="13" fillId="0" borderId="11" xfId="26" applyNumberFormat="1" applyFont="1" applyFill="1" applyBorder="1" applyAlignment="1">
      <alignment horizontal="center" vertical="center" wrapText="1"/>
    </xf>
    <xf numFmtId="0" fontId="13" fillId="0" borderId="13" xfId="26" applyNumberFormat="1" applyFont="1" applyFill="1" applyBorder="1" applyAlignment="1">
      <alignment horizontal="center" vertical="center" wrapText="1"/>
    </xf>
    <xf numFmtId="0" fontId="12" fillId="0" borderId="4" xfId="26" applyNumberFormat="1" applyFont="1" applyFill="1" applyBorder="1" applyAlignment="1">
      <alignment horizontal="center" vertical="center" wrapText="1"/>
    </xf>
    <xf numFmtId="0" fontId="12" fillId="0" borderId="16" xfId="26" applyNumberFormat="1" applyFont="1" applyFill="1" applyBorder="1" applyAlignment="1">
      <alignment horizontal="center" vertical="center" wrapText="1"/>
    </xf>
    <xf numFmtId="0" fontId="12" fillId="0" borderId="5" xfId="26" applyNumberFormat="1" applyFont="1" applyFill="1" applyBorder="1" applyAlignment="1">
      <alignment horizontal="center" vertical="center" wrapText="1"/>
    </xf>
    <xf numFmtId="0" fontId="13" fillId="0" borderId="2" xfId="26" applyNumberFormat="1" applyFont="1" applyFill="1" applyBorder="1" applyAlignment="1">
      <alignment horizontal="center" vertical="center" wrapText="1"/>
    </xf>
    <xf numFmtId="0" fontId="13" fillId="0" borderId="7" xfId="26" applyNumberFormat="1" applyFont="1" applyFill="1" applyBorder="1" applyAlignment="1">
      <alignment horizontal="center" vertical="center" wrapText="1"/>
    </xf>
    <xf numFmtId="0" fontId="3" fillId="0" borderId="0" xfId="26" applyFont="1" applyFill="1" applyAlignment="1">
      <alignment horizontal="center" vertical="center" wrapText="1"/>
    </xf>
    <xf numFmtId="0" fontId="46" fillId="0" borderId="0" xfId="26" applyFont="1" applyFill="1" applyAlignment="1">
      <alignment horizontal="center"/>
    </xf>
    <xf numFmtId="0" fontId="11" fillId="3" borderId="2" xfId="29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11" fillId="3" borderId="4" xfId="29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11" fillId="3" borderId="2" xfId="29" applyFont="1" applyFill="1" applyBorder="1" applyAlignment="1">
      <alignment horizontal="justify" vertical="top" wrapText="1"/>
    </xf>
    <xf numFmtId="0" fontId="11" fillId="3" borderId="6" xfId="29" applyFont="1" applyFill="1" applyBorder="1" applyAlignment="1">
      <alignment horizontal="justify" vertical="top" wrapText="1"/>
    </xf>
    <xf numFmtId="0" fontId="11" fillId="3" borderId="7" xfId="29" applyFont="1" applyFill="1" applyBorder="1" applyAlignment="1">
      <alignment horizontal="justify" vertical="top" wrapText="1"/>
    </xf>
    <xf numFmtId="0" fontId="4" fillId="3" borderId="0" xfId="29" applyFont="1" applyFill="1" applyAlignment="1">
      <alignment horizontal="center" vertical="center"/>
    </xf>
    <xf numFmtId="0" fontId="11" fillId="3" borderId="3" xfId="29" applyFont="1" applyFill="1" applyBorder="1" applyAlignment="1">
      <alignment horizontal="center" vertical="center" wrapText="1"/>
    </xf>
    <xf numFmtId="0" fontId="11" fillId="3" borderId="3" xfId="29" applyFont="1" applyFill="1" applyBorder="1" applyAlignment="1">
      <alignment horizontal="left" vertical="top" wrapText="1"/>
    </xf>
    <xf numFmtId="0" fontId="11" fillId="3" borderId="3" xfId="29" applyFont="1" applyFill="1" applyBorder="1" applyAlignment="1">
      <alignment horizontal="justify" vertical="center" wrapText="1"/>
    </xf>
    <xf numFmtId="0" fontId="11" fillId="3" borderId="3" xfId="29" applyFont="1" applyFill="1" applyBorder="1" applyAlignment="1">
      <alignment horizontal="left" vertical="center" wrapText="1"/>
    </xf>
    <xf numFmtId="0" fontId="11" fillId="3" borderId="3" xfId="29" applyFont="1" applyFill="1" applyBorder="1" applyAlignment="1">
      <alignment horizontal="center" vertical="center"/>
    </xf>
    <xf numFmtId="0" fontId="11" fillId="3" borderId="9" xfId="29" applyFont="1" applyFill="1" applyBorder="1" applyAlignment="1">
      <alignment horizontal="justify" vertical="center" wrapText="1"/>
    </xf>
    <xf numFmtId="0" fontId="11" fillId="3" borderId="8" xfId="29" applyFont="1" applyFill="1" applyBorder="1" applyAlignment="1">
      <alignment horizontal="justify" vertical="center" wrapText="1"/>
    </xf>
    <xf numFmtId="0" fontId="11" fillId="3" borderId="10" xfId="29" applyFont="1" applyFill="1" applyBorder="1" applyAlignment="1">
      <alignment horizontal="justify" vertical="center" wrapText="1"/>
    </xf>
    <xf numFmtId="0" fontId="11" fillId="3" borderId="13" xfId="29" applyFont="1" applyFill="1" applyBorder="1" applyAlignment="1">
      <alignment horizontal="justify" vertical="center" wrapText="1"/>
    </xf>
    <xf numFmtId="0" fontId="11" fillId="3" borderId="14" xfId="29" applyFont="1" applyFill="1" applyBorder="1" applyAlignment="1">
      <alignment horizontal="justify" vertical="center" wrapText="1"/>
    </xf>
    <xf numFmtId="0" fontId="11" fillId="3" borderId="15" xfId="29" applyFont="1" applyFill="1" applyBorder="1" applyAlignment="1">
      <alignment horizontal="justify" vertical="center" wrapText="1"/>
    </xf>
    <xf numFmtId="0" fontId="11" fillId="3" borderId="2" xfId="29" applyFont="1" applyFill="1" applyBorder="1" applyAlignment="1">
      <alignment horizontal="left" vertical="center" wrapText="1"/>
    </xf>
    <xf numFmtId="0" fontId="11" fillId="3" borderId="6" xfId="29" applyFont="1" applyFill="1" applyBorder="1" applyAlignment="1">
      <alignment horizontal="left" vertical="center" wrapText="1"/>
    </xf>
    <xf numFmtId="0" fontId="11" fillId="3" borderId="7" xfId="29" applyFont="1" applyFill="1" applyBorder="1" applyAlignment="1">
      <alignment horizontal="left" vertical="center" wrapText="1"/>
    </xf>
    <xf numFmtId="0" fontId="11" fillId="3" borderId="2" xfId="29" applyFont="1" applyFill="1" applyBorder="1" applyAlignment="1">
      <alignment horizontal="justify" vertical="center" wrapText="1"/>
    </xf>
    <xf numFmtId="0" fontId="11" fillId="3" borderId="6" xfId="29" applyFont="1" applyFill="1" applyBorder="1" applyAlignment="1">
      <alignment horizontal="justify" vertical="center" wrapText="1"/>
    </xf>
    <xf numFmtId="0" fontId="11" fillId="3" borderId="7" xfId="29" applyFont="1" applyFill="1" applyBorder="1" applyAlignment="1">
      <alignment horizontal="justify" vertical="center" wrapText="1"/>
    </xf>
    <xf numFmtId="0" fontId="11" fillId="3" borderId="3" xfId="29" applyFont="1" applyFill="1" applyBorder="1" applyAlignment="1">
      <alignment horizontal="justify" vertical="top" wrapText="1"/>
    </xf>
    <xf numFmtId="0" fontId="11" fillId="3" borderId="9" xfId="29" applyFont="1" applyFill="1" applyBorder="1" applyAlignment="1">
      <alignment horizontal="center" vertical="center"/>
    </xf>
    <xf numFmtId="0" fontId="11" fillId="3" borderId="13" xfId="29" applyFont="1" applyFill="1" applyBorder="1" applyAlignment="1">
      <alignment horizontal="center" vertical="center"/>
    </xf>
    <xf numFmtId="0" fontId="11" fillId="3" borderId="9" xfId="29" applyFont="1" applyFill="1" applyBorder="1" applyAlignment="1">
      <alignment horizontal="left" vertical="center" wrapText="1"/>
    </xf>
    <xf numFmtId="0" fontId="11" fillId="3" borderId="8" xfId="29" applyFont="1" applyFill="1" applyBorder="1" applyAlignment="1">
      <alignment horizontal="left" vertical="center" wrapText="1"/>
    </xf>
    <xf numFmtId="0" fontId="11" fillId="3" borderId="10" xfId="29" applyFont="1" applyFill="1" applyBorder="1" applyAlignment="1">
      <alignment horizontal="left" vertical="center" wrapText="1"/>
    </xf>
    <xf numFmtId="0" fontId="11" fillId="3" borderId="4" xfId="29" applyFont="1" applyFill="1" applyBorder="1" applyAlignment="1">
      <alignment horizontal="center" vertical="center"/>
    </xf>
    <xf numFmtId="0" fontId="11" fillId="3" borderId="16" xfId="29" applyFont="1" applyFill="1" applyBorder="1" applyAlignment="1">
      <alignment horizontal="center" vertical="center"/>
    </xf>
    <xf numFmtId="0" fontId="11" fillId="3" borderId="5" xfId="29" applyFont="1" applyFill="1" applyBorder="1" applyAlignment="1">
      <alignment horizontal="center" vertical="center"/>
    </xf>
    <xf numFmtId="0" fontId="11" fillId="3" borderId="16" xfId="29" applyFont="1" applyFill="1" applyBorder="1" applyAlignment="1">
      <alignment horizontal="center" vertical="center" wrapText="1"/>
    </xf>
    <xf numFmtId="0" fontId="11" fillId="3" borderId="5" xfId="29" applyFont="1" applyFill="1" applyBorder="1" applyAlignment="1">
      <alignment horizontal="center" vertical="center" wrapText="1"/>
    </xf>
    <xf numFmtId="0" fontId="11" fillId="3" borderId="9" xfId="29" applyFont="1" applyFill="1" applyBorder="1" applyAlignment="1">
      <alignment horizontal="justify" vertical="top" wrapText="1"/>
    </xf>
    <xf numFmtId="0" fontId="11" fillId="3" borderId="8" xfId="29" applyFont="1" applyFill="1" applyBorder="1" applyAlignment="1">
      <alignment horizontal="justify" vertical="top" wrapText="1"/>
    </xf>
    <xf numFmtId="0" fontId="11" fillId="3" borderId="10" xfId="29" applyFont="1" applyFill="1" applyBorder="1" applyAlignment="1">
      <alignment horizontal="justify" vertical="top" wrapText="1"/>
    </xf>
    <xf numFmtId="0" fontId="11" fillId="3" borderId="13" xfId="29" applyFont="1" applyFill="1" applyBorder="1" applyAlignment="1">
      <alignment horizontal="justify" vertical="top" wrapText="1"/>
    </xf>
    <xf numFmtId="0" fontId="11" fillId="3" borderId="14" xfId="29" applyFont="1" applyFill="1" applyBorder="1" applyAlignment="1">
      <alignment horizontal="justify" vertical="top" wrapText="1"/>
    </xf>
    <xf numFmtId="0" fontId="11" fillId="3" borderId="15" xfId="29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horizontal="justify" vertical="top"/>
    </xf>
    <xf numFmtId="0" fontId="11" fillId="3" borderId="6" xfId="0" applyFont="1" applyFill="1" applyBorder="1" applyAlignment="1">
      <alignment horizontal="justify" vertical="top"/>
    </xf>
    <xf numFmtId="0" fontId="11" fillId="3" borderId="7" xfId="0" applyFont="1" applyFill="1" applyBorder="1" applyAlignment="1">
      <alignment horizontal="justify" vertical="top"/>
    </xf>
    <xf numFmtId="0" fontId="11" fillId="3" borderId="2" xfId="29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left" vertical="center" wrapText="1"/>
    </xf>
    <xf numFmtId="0" fontId="36" fillId="3" borderId="7" xfId="0" applyFont="1" applyFill="1" applyBorder="1" applyAlignment="1">
      <alignment horizontal="left" vertical="center" wrapText="1"/>
    </xf>
    <xf numFmtId="0" fontId="39" fillId="3" borderId="8" xfId="29" applyFont="1" applyFill="1" applyBorder="1" applyAlignment="1">
      <alignment horizontal="left" vertical="top"/>
    </xf>
    <xf numFmtId="0" fontId="39" fillId="3" borderId="0" xfId="29" applyFont="1" applyFill="1" applyBorder="1" applyAlignment="1">
      <alignment horizontal="left" vertical="top"/>
    </xf>
    <xf numFmtId="0" fontId="4" fillId="3" borderId="14" xfId="29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justify" vertical="top" wrapText="1"/>
    </xf>
    <xf numFmtId="0" fontId="36" fillId="3" borderId="7" xfId="0" applyFont="1" applyFill="1" applyBorder="1" applyAlignment="1">
      <alignment horizontal="justify" vertical="top" wrapText="1"/>
    </xf>
    <xf numFmtId="0" fontId="36" fillId="3" borderId="3" xfId="0" applyFont="1" applyFill="1" applyBorder="1" applyAlignment="1">
      <alignment vertical="center" wrapText="1"/>
    </xf>
    <xf numFmtId="0" fontId="11" fillId="3" borderId="2" xfId="29" applyFont="1" applyFill="1" applyBorder="1" applyAlignment="1">
      <alignment vertical="top" wrapText="1"/>
    </xf>
    <xf numFmtId="0" fontId="11" fillId="3" borderId="6" xfId="29" applyFont="1" applyFill="1" applyBorder="1" applyAlignment="1">
      <alignment vertical="top" wrapText="1"/>
    </xf>
    <xf numFmtId="0" fontId="11" fillId="3" borderId="7" xfId="29" applyFont="1" applyFill="1" applyBorder="1" applyAlignment="1">
      <alignment vertical="top" wrapText="1"/>
    </xf>
    <xf numFmtId="0" fontId="11" fillId="3" borderId="0" xfId="29" applyFont="1" applyFill="1" applyAlignment="1">
      <alignment horizontal="center"/>
    </xf>
    <xf numFmtId="0" fontId="36" fillId="3" borderId="6" xfId="0" applyFont="1" applyFill="1" applyBorder="1" applyAlignment="1">
      <alignment vertical="center"/>
    </xf>
    <xf numFmtId="0" fontId="36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justify" vertical="top" wrapText="1"/>
    </xf>
    <xf numFmtId="0" fontId="11" fillId="3" borderId="6" xfId="29" applyFont="1" applyFill="1" applyBorder="1" applyAlignment="1">
      <alignment horizontal="center" vertical="center" wrapText="1"/>
    </xf>
    <xf numFmtId="0" fontId="11" fillId="3" borderId="7" xfId="29" applyFont="1" applyFill="1" applyBorder="1" applyAlignment="1">
      <alignment horizontal="center" vertical="center" wrapText="1"/>
    </xf>
    <xf numFmtId="0" fontId="3" fillId="3" borderId="0" xfId="26" applyFont="1" applyFill="1" applyAlignment="1">
      <alignment horizontal="center" vertical="center" wrapText="1"/>
    </xf>
    <xf numFmtId="0" fontId="41" fillId="0" borderId="3" xfId="0" applyFont="1" applyBorder="1" applyAlignment="1">
      <alignment horizontal="center" vertical="top"/>
    </xf>
    <xf numFmtId="0" fontId="41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/>
    </xf>
    <xf numFmtId="0" fontId="41" fillId="0" borderId="3" xfId="0" applyFont="1" applyBorder="1" applyAlignment="1">
      <alignment horizontal="center" wrapText="1"/>
    </xf>
    <xf numFmtId="165" fontId="41" fillId="0" borderId="3" xfId="0" applyNumberFormat="1" applyFont="1" applyFill="1" applyBorder="1" applyAlignment="1">
      <alignment horizontal="center"/>
    </xf>
    <xf numFmtId="165" fontId="41" fillId="0" borderId="3" xfId="0" applyNumberFormat="1" applyFont="1" applyBorder="1" applyAlignment="1">
      <alignment horizontal="center"/>
    </xf>
    <xf numFmtId="0" fontId="41" fillId="0" borderId="3" xfId="0" applyFont="1" applyFill="1" applyBorder="1" applyAlignment="1">
      <alignment horizontal="center" vertical="top"/>
    </xf>
    <xf numFmtId="0" fontId="41" fillId="0" borderId="3" xfId="0" applyFont="1" applyFill="1" applyBorder="1" applyAlignment="1">
      <alignment horizontal="right" vertical="center" wrapText="1"/>
    </xf>
    <xf numFmtId="0" fontId="41" fillId="0" borderId="3" xfId="0" applyFont="1" applyFill="1" applyBorder="1" applyAlignment="1">
      <alignment horizontal="right"/>
    </xf>
    <xf numFmtId="0" fontId="41" fillId="0" borderId="3" xfId="0" applyFont="1" applyFill="1" applyBorder="1" applyAlignment="1">
      <alignment horizontal="center" wrapText="1"/>
    </xf>
    <xf numFmtId="165" fontId="42" fillId="0" borderId="3" xfId="0" applyNumberFormat="1" applyFont="1" applyBorder="1" applyAlignment="1">
      <alignment horizontal="center"/>
    </xf>
    <xf numFmtId="0" fontId="41" fillId="0" borderId="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/>
    </xf>
    <xf numFmtId="0" fontId="42" fillId="0" borderId="3" xfId="0" applyFont="1" applyBorder="1" applyAlignment="1">
      <alignment horizontal="center" vertical="top"/>
    </xf>
    <xf numFmtId="0" fontId="42" fillId="0" borderId="3" xfId="0" applyFont="1" applyBorder="1" applyAlignment="1">
      <alignment vertical="center" wrapText="1"/>
    </xf>
    <xf numFmtId="0" fontId="42" fillId="0" borderId="3" xfId="0" applyFont="1" applyBorder="1" applyAlignment="1"/>
    <xf numFmtId="0" fontId="42" fillId="0" borderId="3" xfId="0" applyFont="1" applyBorder="1" applyAlignment="1">
      <alignment horizontal="center" wrapText="1"/>
    </xf>
    <xf numFmtId="0" fontId="41" fillId="0" borderId="2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7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41" fillId="0" borderId="3" xfId="0" applyFont="1" applyBorder="1" applyAlignment="1">
      <alignment vertical="center" wrapText="1"/>
    </xf>
    <xf numFmtId="0" fontId="41" fillId="0" borderId="3" xfId="0" applyFont="1" applyBorder="1" applyAlignment="1"/>
    <xf numFmtId="171" fontId="42" fillId="0" borderId="3" xfId="0" applyNumberFormat="1" applyFont="1" applyBorder="1" applyAlignment="1">
      <alignment horizont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9" fontId="9" fillId="3" borderId="2" xfId="26" applyNumberFormat="1" applyFont="1" applyFill="1" applyBorder="1" applyAlignment="1">
      <alignment horizontal="left" vertical="center" wrapText="1"/>
    </xf>
    <xf numFmtId="49" fontId="9" fillId="3" borderId="6" xfId="26" applyNumberFormat="1" applyFont="1" applyFill="1" applyBorder="1" applyAlignment="1">
      <alignment horizontal="left" vertical="center" wrapText="1"/>
    </xf>
    <xf numFmtId="49" fontId="9" fillId="3" borderId="7" xfId="26" applyNumberFormat="1" applyFont="1" applyFill="1" applyBorder="1" applyAlignment="1">
      <alignment horizontal="left" vertical="center" wrapText="1"/>
    </xf>
    <xf numFmtId="0" fontId="10" fillId="3" borderId="0" xfId="26" applyFont="1" applyFill="1" applyAlignment="1">
      <alignment horizontal="center"/>
    </xf>
    <xf numFmtId="0" fontId="12" fillId="3" borderId="9" xfId="26" applyNumberFormat="1" applyFont="1" applyFill="1" applyBorder="1" applyAlignment="1">
      <alignment horizontal="center" vertical="center" wrapText="1"/>
    </xf>
    <xf numFmtId="0" fontId="12" fillId="3" borderId="8" xfId="26" applyNumberFormat="1" applyFont="1" applyFill="1" applyBorder="1" applyAlignment="1">
      <alignment horizontal="center" vertical="center" wrapText="1"/>
    </xf>
    <xf numFmtId="0" fontId="12" fillId="3" borderId="10" xfId="26" applyNumberFormat="1" applyFont="1" applyFill="1" applyBorder="1" applyAlignment="1">
      <alignment horizontal="center" vertical="center" wrapText="1"/>
    </xf>
    <xf numFmtId="0" fontId="12" fillId="3" borderId="11" xfId="26" applyNumberFormat="1" applyFont="1" applyFill="1" applyBorder="1" applyAlignment="1">
      <alignment horizontal="center" vertical="center" wrapText="1"/>
    </xf>
    <xf numFmtId="0" fontId="12" fillId="3" borderId="0" xfId="26" applyNumberFormat="1" applyFont="1" applyFill="1" applyBorder="1" applyAlignment="1">
      <alignment horizontal="center" vertical="center" wrapText="1"/>
    </xf>
    <xf numFmtId="0" fontId="12" fillId="3" borderId="12" xfId="26" applyNumberFormat="1" applyFont="1" applyFill="1" applyBorder="1" applyAlignment="1">
      <alignment horizontal="center" vertical="center" wrapText="1"/>
    </xf>
    <xf numFmtId="0" fontId="12" fillId="3" borderId="13" xfId="26" applyNumberFormat="1" applyFont="1" applyFill="1" applyBorder="1" applyAlignment="1">
      <alignment horizontal="center" vertical="center" wrapText="1"/>
    </xf>
    <xf numFmtId="0" fontId="12" fillId="3" borderId="14" xfId="26" applyNumberFormat="1" applyFont="1" applyFill="1" applyBorder="1" applyAlignment="1">
      <alignment horizontal="center" vertical="center" wrapText="1"/>
    </xf>
    <xf numFmtId="0" fontId="12" fillId="3" borderId="15" xfId="26" applyNumberFormat="1" applyFont="1" applyFill="1" applyBorder="1" applyAlignment="1">
      <alignment horizontal="center" vertical="center" wrapText="1"/>
    </xf>
    <xf numFmtId="0" fontId="13" fillId="3" borderId="9" xfId="26" applyNumberFormat="1" applyFont="1" applyFill="1" applyBorder="1" applyAlignment="1">
      <alignment horizontal="center" vertical="center" wrapText="1"/>
    </xf>
    <xf numFmtId="0" fontId="13" fillId="3" borderId="11" xfId="26" applyNumberFormat="1" applyFont="1" applyFill="1" applyBorder="1" applyAlignment="1">
      <alignment horizontal="center" vertical="center" wrapText="1"/>
    </xf>
    <xf numFmtId="0" fontId="13" fillId="3" borderId="13" xfId="26" applyNumberFormat="1" applyFont="1" applyFill="1" applyBorder="1" applyAlignment="1">
      <alignment horizontal="center" vertical="center" wrapText="1"/>
    </xf>
    <xf numFmtId="0" fontId="12" fillId="3" borderId="4" xfId="26" applyNumberFormat="1" applyFont="1" applyFill="1" applyBorder="1" applyAlignment="1">
      <alignment horizontal="center" vertical="center" wrapText="1"/>
    </xf>
    <xf numFmtId="0" fontId="12" fillId="3" borderId="16" xfId="26" applyNumberFormat="1" applyFont="1" applyFill="1" applyBorder="1" applyAlignment="1">
      <alignment horizontal="center" vertical="center" wrapText="1"/>
    </xf>
    <xf numFmtId="0" fontId="12" fillId="3" borderId="5" xfId="26" applyNumberFormat="1" applyFont="1" applyFill="1" applyBorder="1" applyAlignment="1">
      <alignment horizontal="center" vertical="center" wrapText="1"/>
    </xf>
    <xf numFmtId="0" fontId="13" fillId="3" borderId="3" xfId="26" applyNumberFormat="1" applyFont="1" applyFill="1" applyBorder="1" applyAlignment="1">
      <alignment horizontal="center" vertical="top"/>
    </xf>
    <xf numFmtId="0" fontId="13" fillId="3" borderId="2" xfId="26" applyFont="1" applyFill="1" applyBorder="1" applyAlignment="1">
      <alignment horizontal="left" vertical="top" wrapText="1"/>
    </xf>
    <xf numFmtId="0" fontId="13" fillId="3" borderId="6" xfId="26" applyFont="1" applyFill="1" applyBorder="1" applyAlignment="1">
      <alignment horizontal="left" vertical="top" wrapText="1"/>
    </xf>
    <xf numFmtId="0" fontId="13" fillId="3" borderId="7" xfId="26" applyFont="1" applyFill="1" applyBorder="1" applyAlignment="1">
      <alignment horizontal="left" vertical="top" wrapText="1"/>
    </xf>
    <xf numFmtId="49" fontId="9" fillId="3" borderId="9" xfId="26" applyNumberFormat="1" applyFont="1" applyFill="1" applyBorder="1" applyAlignment="1">
      <alignment horizontal="left" vertical="center" wrapText="1"/>
    </xf>
    <xf numFmtId="49" fontId="9" fillId="3" borderId="8" xfId="26" applyNumberFormat="1" applyFont="1" applyFill="1" applyBorder="1" applyAlignment="1">
      <alignment horizontal="left" vertical="center" wrapText="1"/>
    </xf>
    <xf numFmtId="49" fontId="9" fillId="3" borderId="10" xfId="26" applyNumberFormat="1" applyFont="1" applyFill="1" applyBorder="1" applyAlignment="1">
      <alignment horizontal="left" vertical="center" wrapText="1"/>
    </xf>
    <xf numFmtId="49" fontId="9" fillId="3" borderId="13" xfId="26" applyNumberFormat="1" applyFont="1" applyFill="1" applyBorder="1" applyAlignment="1">
      <alignment horizontal="left" vertical="center" wrapText="1"/>
    </xf>
    <xf numFmtId="49" fontId="9" fillId="3" borderId="14" xfId="26" applyNumberFormat="1" applyFont="1" applyFill="1" applyBorder="1" applyAlignment="1">
      <alignment horizontal="left" vertical="center" wrapText="1"/>
    </xf>
    <xf numFmtId="49" fontId="9" fillId="3" borderId="15" xfId="26" applyNumberFormat="1" applyFont="1" applyFill="1" applyBorder="1" applyAlignment="1">
      <alignment horizontal="left" vertical="center" wrapText="1"/>
    </xf>
  </cellXfs>
  <cellStyles count="96">
    <cellStyle name="Comma" xfId="1"/>
    <cellStyle name="Comma [0]" xfId="2"/>
    <cellStyle name="Comma 2" xfId="3"/>
    <cellStyle name="Comma_Forma" xfId="4"/>
    <cellStyle name="Currency" xfId="5"/>
    <cellStyle name="Currency [0]" xfId="6"/>
    <cellStyle name="Currency 2" xfId="7"/>
    <cellStyle name="Currency_Forma" xfId="8"/>
    <cellStyle name="Date" xfId="9"/>
    <cellStyle name="Fixed" xfId="10"/>
    <cellStyle name="Heading1" xfId="11"/>
    <cellStyle name="Heading2" xfId="12"/>
    <cellStyle name="Îáű÷íűé_ÂŰŐÎÄ" xfId="13"/>
    <cellStyle name="Normal" xfId="14"/>
    <cellStyle name="Normal 2" xfId="15"/>
    <cellStyle name="Normal 3" xfId="16"/>
    <cellStyle name="Normal 3 2" xfId="17"/>
    <cellStyle name="Normal_Forma" xfId="18"/>
    <cellStyle name="Percent" xfId="19"/>
    <cellStyle name="Percent 2" xfId="20"/>
    <cellStyle name="Total" xfId="21"/>
    <cellStyle name="Гиперссылка 2" xfId="22"/>
    <cellStyle name="Гиперссылка 3" xfId="23"/>
    <cellStyle name="Обычный" xfId="0" builtinId="0"/>
    <cellStyle name="Обычный 2" xfId="24"/>
    <cellStyle name="Обычный 2 2" xfId="25"/>
    <cellStyle name="Обычный 2 2 2" xfId="26"/>
    <cellStyle name="Обычный 2 3" xfId="27"/>
    <cellStyle name="Обычный 2 4" xfId="28"/>
    <cellStyle name="Обычный 2 5" xfId="29"/>
    <cellStyle name="Обычный 2_Таблицы" xfId="30"/>
    <cellStyle name="Обычный 3" xfId="31"/>
    <cellStyle name="Обычный 3 2" xfId="32"/>
    <cellStyle name="Обычный 3 2 2" xfId="33"/>
    <cellStyle name="Обычный 3 2 2 2" xfId="34"/>
    <cellStyle name="Обычный 4" xfId="35"/>
    <cellStyle name="Обычный 5" xfId="36"/>
    <cellStyle name="Обычный 6" xfId="37"/>
    <cellStyle name="Процентный 2" xfId="38"/>
    <cellStyle name="Процентный 2 10" xfId="39"/>
    <cellStyle name="Процентный 2 10 2" xfId="40"/>
    <cellStyle name="Процентный 2 11" xfId="41"/>
    <cellStyle name="Процентный 2 11 2" xfId="42"/>
    <cellStyle name="Процентный 2 2" xfId="43"/>
    <cellStyle name="Процентный 2 2 2" xfId="44"/>
    <cellStyle name="Процентный 2 2 2 2" xfId="45"/>
    <cellStyle name="Процентный 2 2 3" xfId="46"/>
    <cellStyle name="Процентный 2 3" xfId="47"/>
    <cellStyle name="Процентный 2 3 2" xfId="48"/>
    <cellStyle name="Процентный 2 4" xfId="49"/>
    <cellStyle name="Процентный 2 4 2" xfId="50"/>
    <cellStyle name="Процентный 2 5" xfId="51"/>
    <cellStyle name="Процентный 2 5 2" xfId="52"/>
    <cellStyle name="Процентный 2 6" xfId="53"/>
    <cellStyle name="Процентный 2 6 2" xfId="54"/>
    <cellStyle name="Процентный 2 7" xfId="55"/>
    <cellStyle name="Процентный 2 7 2" xfId="56"/>
    <cellStyle name="Процентный 2 8" xfId="57"/>
    <cellStyle name="Процентный 2 8 2" xfId="58"/>
    <cellStyle name="Процентный 2 9" xfId="59"/>
    <cellStyle name="Процентный 2 9 2" xfId="60"/>
    <cellStyle name="Процентный 3" xfId="61"/>
    <cellStyle name="Процентный 3 2" xfId="62"/>
    <cellStyle name="Тысячи [0]_0203000" xfId="63"/>
    <cellStyle name="Тысячи_0203000" xfId="64"/>
    <cellStyle name="Финансовый" xfId="65" builtinId="3"/>
    <cellStyle name="Финансовый 2" xfId="66"/>
    <cellStyle name="Финансовый 2 10" xfId="67"/>
    <cellStyle name="Финансовый 2 10 2" xfId="68"/>
    <cellStyle name="Финансовый 2 11" xfId="69"/>
    <cellStyle name="Финансовый 2 11 2" xfId="70"/>
    <cellStyle name="Финансовый 2 12" xfId="71"/>
    <cellStyle name="Финансовый 2 13" xfId="72"/>
    <cellStyle name="Финансовый 2 14" xfId="73"/>
    <cellStyle name="Финансовый 2 2" xfId="74"/>
    <cellStyle name="Финансовый 2 2 2" xfId="75"/>
    <cellStyle name="Финансовый 2 3" xfId="76"/>
    <cellStyle name="Финансовый 2 3 2" xfId="77"/>
    <cellStyle name="Финансовый 2 4" xfId="78"/>
    <cellStyle name="Финансовый 2 4 2" xfId="79"/>
    <cellStyle name="Финансовый 2 5" xfId="80"/>
    <cellStyle name="Финансовый 2 5 2" xfId="81"/>
    <cellStyle name="Финансовый 2 6" xfId="82"/>
    <cellStyle name="Финансовый 2 6 2" xfId="83"/>
    <cellStyle name="Финансовый 2 7" xfId="84"/>
    <cellStyle name="Финансовый 2 7 2" xfId="85"/>
    <cellStyle name="Финансовый 2 8" xfId="86"/>
    <cellStyle name="Финансовый 2 8 2" xfId="87"/>
    <cellStyle name="Финансовый 2 9" xfId="88"/>
    <cellStyle name="Финансовый 2 9 2" xfId="89"/>
    <cellStyle name="Финансовый 3" xfId="90"/>
    <cellStyle name="Финансовый 4" xfId="91"/>
    <cellStyle name="Финансовый 4 2" xfId="92"/>
    <cellStyle name="Финансовый 5" xfId="93"/>
    <cellStyle name="Финансовый 6" xfId="94"/>
    <cellStyle name="Финансовый 7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tevaaa\Desktop\&#1055;&#1043;&#1043;%202019%20-2021%20&#1053;&#1057;&#1044;%20&#1089;&#1074;&#1086;&#1076;&#1085;&#1072;&#1103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1 "/>
      <sheetName val="2019"/>
      <sheetName val="2020"/>
      <sheetName val="2021"/>
      <sheetName val="дефицит"/>
      <sheetName val="расчет прочих"/>
    </sheetNames>
    <sheetDataSet>
      <sheetData sheetId="0" refreshError="1"/>
      <sheetData sheetId="1" refreshError="1"/>
      <sheetData sheetId="2">
        <row r="14">
          <cell r="N14">
            <v>967236</v>
          </cell>
        </row>
      </sheetData>
      <sheetData sheetId="3">
        <row r="14">
          <cell r="N14">
            <v>968750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P58"/>
  <sheetViews>
    <sheetView view="pageBreakPreview" zoomScale="55" zoomScaleNormal="71" zoomScaleSheetLayoutView="55" workbookViewId="0">
      <selection activeCell="D1" sqref="D1:H1"/>
    </sheetView>
  </sheetViews>
  <sheetFormatPr defaultColWidth="0.85546875" defaultRowHeight="18.75" x14ac:dyDescent="0.3"/>
  <cols>
    <col min="1" max="1" width="172.140625" style="36" customWidth="1"/>
    <col min="2" max="2" width="17.85546875" style="36" customWidth="1"/>
    <col min="3" max="3" width="20" style="36" customWidth="1"/>
    <col min="4" max="4" width="22.7109375" style="36" customWidth="1"/>
    <col min="5" max="5" width="20" style="36" customWidth="1"/>
    <col min="6" max="6" width="23.28515625" style="36" customWidth="1"/>
    <col min="7" max="10" width="20" style="36" customWidth="1"/>
    <col min="11" max="19" width="0.85546875" style="36"/>
    <col min="20" max="20" width="32.28515625" style="36" customWidth="1"/>
    <col min="21" max="16384" width="0.85546875" style="36"/>
  </cols>
  <sheetData>
    <row r="1" spans="1:68" ht="103.5" customHeight="1" x14ac:dyDescent="0.3">
      <c r="B1" s="15"/>
      <c r="D1" s="208" t="s">
        <v>134</v>
      </c>
      <c r="E1" s="208"/>
      <c r="F1" s="208"/>
      <c r="G1" s="208"/>
      <c r="H1" s="208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</row>
    <row r="2" spans="1:68" ht="25.5" x14ac:dyDescent="0.35">
      <c r="A2" s="211" t="s">
        <v>3</v>
      </c>
      <c r="B2" s="211"/>
      <c r="C2" s="211"/>
      <c r="D2" s="211"/>
      <c r="E2" s="211"/>
      <c r="F2" s="211"/>
    </row>
    <row r="3" spans="1:68" ht="25.5" x14ac:dyDescent="0.35">
      <c r="A3" s="211" t="s">
        <v>4</v>
      </c>
      <c r="B3" s="211"/>
      <c r="C3" s="211"/>
      <c r="D3" s="211"/>
      <c r="E3" s="211"/>
      <c r="F3" s="211"/>
    </row>
    <row r="4" spans="1:68" ht="25.5" x14ac:dyDescent="0.35">
      <c r="A4" s="211" t="s">
        <v>135</v>
      </c>
      <c r="B4" s="211"/>
      <c r="C4" s="211"/>
      <c r="D4" s="211"/>
      <c r="E4" s="211"/>
      <c r="F4" s="211"/>
    </row>
    <row r="6" spans="1:68" ht="19.5" customHeight="1" x14ac:dyDescent="0.3">
      <c r="A6" s="212" t="s">
        <v>5</v>
      </c>
      <c r="B6" s="209"/>
      <c r="C6" s="209"/>
      <c r="D6" s="209"/>
      <c r="E6" s="209"/>
      <c r="F6" s="209"/>
      <c r="G6" s="209"/>
      <c r="H6" s="209"/>
    </row>
    <row r="7" spans="1:68" x14ac:dyDescent="0.3">
      <c r="A7" s="212"/>
      <c r="B7" s="209"/>
      <c r="C7" s="207" t="s">
        <v>6</v>
      </c>
      <c r="D7" s="207"/>
      <c r="E7" s="207" t="s">
        <v>1</v>
      </c>
      <c r="F7" s="207"/>
      <c r="G7" s="207" t="s">
        <v>133</v>
      </c>
      <c r="H7" s="207"/>
    </row>
    <row r="8" spans="1:68" ht="99.75" customHeight="1" x14ac:dyDescent="0.3">
      <c r="A8" s="212"/>
      <c r="B8" s="209"/>
      <c r="C8" s="38" t="s">
        <v>7</v>
      </c>
      <c r="D8" s="38" t="s">
        <v>8</v>
      </c>
      <c r="E8" s="38" t="s">
        <v>7</v>
      </c>
      <c r="F8" s="38" t="s">
        <v>8</v>
      </c>
      <c r="G8" s="38" t="s">
        <v>7</v>
      </c>
      <c r="H8" s="38" t="s">
        <v>8</v>
      </c>
    </row>
    <row r="9" spans="1:68" ht="18" x14ac:dyDescent="0.35">
      <c r="A9" s="39"/>
      <c r="B9" s="39">
        <v>2</v>
      </c>
      <c r="C9" s="40"/>
      <c r="D9" s="40"/>
      <c r="E9" s="40"/>
      <c r="F9" s="40"/>
      <c r="G9" s="40"/>
      <c r="H9" s="40"/>
    </row>
    <row r="10" spans="1:68" ht="54.6" customHeight="1" x14ac:dyDescent="0.3">
      <c r="A10" s="41" t="s">
        <v>9</v>
      </c>
      <c r="B10" s="42" t="s">
        <v>10</v>
      </c>
      <c r="C10" s="43">
        <f t="shared" ref="C10:H10" si="0">C11+C12</f>
        <v>44280796.102829278</v>
      </c>
      <c r="D10" s="43">
        <f t="shared" si="0"/>
        <v>45529.378706882053</v>
      </c>
      <c r="E10" s="43">
        <f t="shared" si="0"/>
        <v>46755190.901795328</v>
      </c>
      <c r="F10" s="43">
        <f t="shared" si="0"/>
        <v>48054.050949776007</v>
      </c>
      <c r="G10" s="43">
        <f t="shared" si="0"/>
        <v>48896052.894716218</v>
      </c>
      <c r="H10" s="43">
        <f t="shared" si="0"/>
        <v>50236.119936226954</v>
      </c>
    </row>
    <row r="11" spans="1:68" ht="32.450000000000003" customHeight="1" x14ac:dyDescent="0.3">
      <c r="A11" s="41" t="s">
        <v>11</v>
      </c>
      <c r="B11" s="42" t="s">
        <v>12</v>
      </c>
      <c r="C11" s="44">
        <f>прил7!K74</f>
        <v>9428003.6028292682</v>
      </c>
      <c r="D11" s="45">
        <f>C11/прил7!N11*1000</f>
        <v>9760.6565383114612</v>
      </c>
      <c r="E11" s="44">
        <f>прил8!K76</f>
        <v>9235835.5017953329</v>
      </c>
      <c r="F11" s="45">
        <f>E11/прил8!N13*1000</f>
        <v>9548.6887396616057</v>
      </c>
      <c r="G11" s="44">
        <f>прил9!K76</f>
        <v>9213806.1947162133</v>
      </c>
      <c r="H11" s="45">
        <f>G11/прил9!N13*1000</f>
        <v>9511.0257493844783</v>
      </c>
      <c r="T11" s="46"/>
    </row>
    <row r="12" spans="1:68" ht="37.5" x14ac:dyDescent="0.3">
      <c r="A12" s="41" t="s">
        <v>13</v>
      </c>
      <c r="B12" s="42" t="s">
        <v>14</v>
      </c>
      <c r="C12" s="43">
        <f>C13+C17</f>
        <v>34852792.500000007</v>
      </c>
      <c r="D12" s="43">
        <f>C12/974393*1000</f>
        <v>35768.722168570595</v>
      </c>
      <c r="E12" s="43">
        <f>E13+E17</f>
        <v>37519355.399999999</v>
      </c>
      <c r="F12" s="43">
        <f t="shared" ref="D12:H19" si="1">E12/974393*1000</f>
        <v>38505.362210114399</v>
      </c>
      <c r="G12" s="43">
        <f>G13+G17</f>
        <v>39682246.700000003</v>
      </c>
      <c r="H12" s="43">
        <f t="shared" si="1"/>
        <v>40725.094186842478</v>
      </c>
      <c r="I12" s="46"/>
      <c r="J12" s="46"/>
      <c r="K12" s="46" t="e">
        <f>#REF!+D17</f>
        <v>#REF!</v>
      </c>
      <c r="L12" s="46" t="e">
        <f>#REF!+E17</f>
        <v>#REF!</v>
      </c>
      <c r="T12" s="46"/>
    </row>
    <row r="13" spans="1:68" ht="56.25" x14ac:dyDescent="0.3">
      <c r="A13" s="47" t="s">
        <v>171</v>
      </c>
      <c r="B13" s="42" t="s">
        <v>15</v>
      </c>
      <c r="C13" s="43">
        <f>C14+C15+C16</f>
        <v>34322484.500000007</v>
      </c>
      <c r="D13" s="43">
        <f t="shared" si="1"/>
        <v>35224.477700476098</v>
      </c>
      <c r="E13" s="43">
        <f>E14+E15+E16</f>
        <v>36968866.399999999</v>
      </c>
      <c r="F13" s="43">
        <f t="shared" si="1"/>
        <v>37940.406386334878</v>
      </c>
      <c r="G13" s="43">
        <f>G14+G15+G16</f>
        <v>39109763.700000003</v>
      </c>
      <c r="H13" s="43">
        <f t="shared" si="1"/>
        <v>40137.566361827317</v>
      </c>
    </row>
    <row r="14" spans="1:68" x14ac:dyDescent="0.3">
      <c r="A14" s="48" t="s">
        <v>16</v>
      </c>
      <c r="B14" s="42" t="s">
        <v>17</v>
      </c>
      <c r="C14" s="43">
        <f>33919195.2-B26-B27</f>
        <v>33489295.300000004</v>
      </c>
      <c r="D14" s="43">
        <f t="shared" si="1"/>
        <v>34369.392329378403</v>
      </c>
      <c r="E14" s="43">
        <f>36496722.9-D26-D27</f>
        <v>35700042</v>
      </c>
      <c r="F14" s="43">
        <f t="shared" si="1"/>
        <v>36638.237343659079</v>
      </c>
      <c r="G14" s="43">
        <f>38895459.2-F26-F27</f>
        <v>37840939.300000004</v>
      </c>
      <c r="H14" s="43">
        <f t="shared" si="1"/>
        <v>38835.397319151518</v>
      </c>
      <c r="T14" s="46"/>
    </row>
    <row r="15" spans="1:68" ht="50.45" customHeight="1" x14ac:dyDescent="0.3">
      <c r="A15" s="48" t="s">
        <v>172</v>
      </c>
      <c r="B15" s="42" t="s">
        <v>18</v>
      </c>
      <c r="C15" s="43">
        <v>824619.2</v>
      </c>
      <c r="D15" s="43">
        <f t="shared" si="1"/>
        <v>846.29015192022109</v>
      </c>
      <c r="E15" s="43">
        <v>1260254.3999999999</v>
      </c>
      <c r="F15" s="43">
        <f t="shared" si="1"/>
        <v>1293.3738234983214</v>
      </c>
      <c r="G15" s="43">
        <v>1260254.3999999999</v>
      </c>
      <c r="H15" s="43">
        <f t="shared" si="1"/>
        <v>1293.3738234983214</v>
      </c>
    </row>
    <row r="16" spans="1:68" ht="23.45" customHeight="1" x14ac:dyDescent="0.3">
      <c r="A16" s="48" t="s">
        <v>21</v>
      </c>
      <c r="B16" s="42" t="s">
        <v>22</v>
      </c>
      <c r="C16" s="44">
        <v>8570</v>
      </c>
      <c r="D16" s="43">
        <f t="shared" si="1"/>
        <v>8.7952191774776711</v>
      </c>
      <c r="E16" s="44">
        <v>8570</v>
      </c>
      <c r="F16" s="43">
        <f t="shared" si="1"/>
        <v>8.7952191774776711</v>
      </c>
      <c r="G16" s="44">
        <v>8570</v>
      </c>
      <c r="H16" s="43">
        <f t="shared" si="1"/>
        <v>8.7952191774776711</v>
      </c>
    </row>
    <row r="17" spans="1:20" ht="50.45" customHeight="1" x14ac:dyDescent="0.3">
      <c r="A17" s="47" t="s">
        <v>166</v>
      </c>
      <c r="B17" s="42" t="s">
        <v>23</v>
      </c>
      <c r="C17" s="43">
        <f>C18+C19</f>
        <v>530308</v>
      </c>
      <c r="D17" s="43">
        <f t="shared" si="1"/>
        <v>544.2444680944958</v>
      </c>
      <c r="E17" s="43">
        <v>550489</v>
      </c>
      <c r="F17" s="43">
        <f t="shared" si="1"/>
        <v>564.95582377952223</v>
      </c>
      <c r="G17" s="43">
        <v>572483</v>
      </c>
      <c r="H17" s="43">
        <f t="shared" si="1"/>
        <v>587.52782501516333</v>
      </c>
      <c r="T17" s="46"/>
    </row>
    <row r="18" spans="1:20" ht="45.75" customHeight="1" x14ac:dyDescent="0.3">
      <c r="A18" s="47" t="s">
        <v>167</v>
      </c>
      <c r="B18" s="42" t="s">
        <v>57</v>
      </c>
      <c r="C18" s="43"/>
      <c r="D18" s="43">
        <f t="shared" si="1"/>
        <v>0</v>
      </c>
      <c r="E18" s="43"/>
      <c r="F18" s="43">
        <f t="shared" si="1"/>
        <v>0</v>
      </c>
      <c r="G18" s="43"/>
      <c r="H18" s="43">
        <f t="shared" si="1"/>
        <v>0</v>
      </c>
    </row>
    <row r="19" spans="1:20" ht="64.900000000000006" customHeight="1" x14ac:dyDescent="0.3">
      <c r="A19" s="47" t="s">
        <v>199</v>
      </c>
      <c r="B19" s="42" t="s">
        <v>59</v>
      </c>
      <c r="C19" s="49">
        <f>прил7!L59</f>
        <v>530308</v>
      </c>
      <c r="D19" s="43">
        <f t="shared" si="1"/>
        <v>544.2444680944958</v>
      </c>
      <c r="E19" s="49">
        <f>прил8!L74</f>
        <v>550489</v>
      </c>
      <c r="F19" s="43">
        <f t="shared" si="1"/>
        <v>564.95582377952223</v>
      </c>
      <c r="G19" s="49">
        <f>прил9!L74</f>
        <v>572483</v>
      </c>
      <c r="H19" s="43">
        <f t="shared" si="1"/>
        <v>587.52782501516333</v>
      </c>
    </row>
    <row r="20" spans="1:20" ht="18" x14ac:dyDescent="0.35">
      <c r="A20" s="50"/>
      <c r="B20" s="51"/>
      <c r="C20" s="52"/>
      <c r="E20" s="52"/>
    </row>
    <row r="21" spans="1:20" ht="23.25" customHeight="1" x14ac:dyDescent="0.3">
      <c r="A21" s="206" t="s">
        <v>168</v>
      </c>
      <c r="B21" s="206"/>
      <c r="C21" s="206"/>
      <c r="D21" s="206"/>
      <c r="E21" s="206"/>
      <c r="F21" s="206"/>
      <c r="G21" s="206"/>
      <c r="H21" s="206"/>
    </row>
    <row r="22" spans="1:20" ht="48" customHeight="1" x14ac:dyDescent="0.3">
      <c r="A22" s="206" t="s">
        <v>200</v>
      </c>
      <c r="B22" s="206"/>
      <c r="C22" s="206"/>
      <c r="D22" s="206"/>
      <c r="E22" s="206"/>
      <c r="F22" s="206"/>
      <c r="G22" s="206"/>
      <c r="H22" s="206"/>
    </row>
    <row r="23" spans="1:20" ht="18" x14ac:dyDescent="0.35">
      <c r="A23" s="53"/>
      <c r="B23" s="53"/>
    </row>
    <row r="24" spans="1:20" ht="25.9" customHeight="1" x14ac:dyDescent="0.3">
      <c r="A24" s="213" t="s">
        <v>24</v>
      </c>
      <c r="B24" s="205" t="s">
        <v>6</v>
      </c>
      <c r="C24" s="205"/>
      <c r="D24" s="205" t="s">
        <v>1</v>
      </c>
      <c r="E24" s="205"/>
      <c r="F24" s="205" t="s">
        <v>133</v>
      </c>
      <c r="G24" s="205"/>
    </row>
    <row r="25" spans="1:20" s="75" customFormat="1" ht="54.75" customHeight="1" x14ac:dyDescent="0.3">
      <c r="A25" s="214"/>
      <c r="B25" s="76" t="s">
        <v>169</v>
      </c>
      <c r="C25" s="74" t="s">
        <v>170</v>
      </c>
      <c r="D25" s="76" t="s">
        <v>169</v>
      </c>
      <c r="E25" s="74" t="s">
        <v>170</v>
      </c>
      <c r="F25" s="76" t="s">
        <v>169</v>
      </c>
      <c r="G25" s="74" t="s">
        <v>170</v>
      </c>
    </row>
    <row r="26" spans="1:20" ht="25.9" customHeight="1" x14ac:dyDescent="0.3">
      <c r="A26" s="54" t="s">
        <v>25</v>
      </c>
      <c r="B26" s="55">
        <v>228400.3</v>
      </c>
      <c r="C26" s="43">
        <f>B26/974393*1000</f>
        <v>234.40264862329673</v>
      </c>
      <c r="D26" s="55">
        <v>228400.3</v>
      </c>
      <c r="E26" s="43">
        <f t="shared" ref="C26:G27" si="2">D26/974393*1000</f>
        <v>234.40264862329673</v>
      </c>
      <c r="F26" s="55">
        <v>228400.3</v>
      </c>
      <c r="G26" s="43">
        <f t="shared" si="2"/>
        <v>234.40264862329673</v>
      </c>
    </row>
    <row r="27" spans="1:20" ht="60.75" customHeight="1" x14ac:dyDescent="0.3">
      <c r="A27" s="73" t="s">
        <v>165</v>
      </c>
      <c r="B27" s="72">
        <f>ROUND(70.1*2.95*974.393,1)</f>
        <v>201499.6</v>
      </c>
      <c r="C27" s="43">
        <f t="shared" si="2"/>
        <v>206.79499955356823</v>
      </c>
      <c r="D27" s="72">
        <f>ROUND(197.7*2.95*974.393,1)</f>
        <v>568280.6</v>
      </c>
      <c r="E27" s="43">
        <f t="shared" si="2"/>
        <v>583.21498615035205</v>
      </c>
      <c r="F27" s="72">
        <f>ROUND(287.4*2.95*974.393,1)</f>
        <v>826119.6</v>
      </c>
      <c r="G27" s="43">
        <f t="shared" si="2"/>
        <v>847.82998235824755</v>
      </c>
    </row>
    <row r="28" spans="1:20" ht="37.9" customHeight="1" x14ac:dyDescent="0.3">
      <c r="A28" s="210" t="s">
        <v>26</v>
      </c>
      <c r="B28" s="210"/>
      <c r="C28" s="210"/>
      <c r="D28" s="210"/>
      <c r="E28" s="210"/>
      <c r="F28" s="210"/>
      <c r="G28" s="210"/>
      <c r="H28" s="210"/>
    </row>
    <row r="30" spans="1:20" ht="18" hidden="1" x14ac:dyDescent="0.35">
      <c r="A30" s="56" t="s">
        <v>27</v>
      </c>
      <c r="B30" s="40" t="e">
        <f>#REF!</f>
        <v>#REF!</v>
      </c>
    </row>
    <row r="31" spans="1:20" ht="18" hidden="1" x14ac:dyDescent="0.35">
      <c r="A31" s="56" t="s">
        <v>28</v>
      </c>
      <c r="B31" s="40">
        <v>979983</v>
      </c>
    </row>
    <row r="32" spans="1:20" ht="18" hidden="1" x14ac:dyDescent="0.35"/>
    <row r="33" spans="3:6" ht="40.5" hidden="1" customHeight="1" x14ac:dyDescent="0.35">
      <c r="C33" s="40"/>
      <c r="D33" s="57" t="e">
        <f>D11+#REF!+D17</f>
        <v>#REF!</v>
      </c>
      <c r="E33" s="40"/>
      <c r="F33" s="57" t="e">
        <f>F11+#REF!+F17</f>
        <v>#REF!</v>
      </c>
    </row>
    <row r="34" spans="3:6" ht="32.25" hidden="1" customHeight="1" x14ac:dyDescent="0.35">
      <c r="C34" s="40"/>
      <c r="D34" s="57" t="e">
        <f>D14+D16+#REF!/#REF!*1000</f>
        <v>#REF!</v>
      </c>
      <c r="E34" s="40"/>
      <c r="F34" s="57" t="e">
        <f>F14+F16+#REF!/#REF!*1000</f>
        <v>#REF!</v>
      </c>
    </row>
    <row r="35" spans="3:6" ht="18" hidden="1" x14ac:dyDescent="0.35"/>
    <row r="36" spans="3:6" ht="18" hidden="1" x14ac:dyDescent="0.35">
      <c r="D36" s="46" t="e">
        <f>D34+D33</f>
        <v>#REF!</v>
      </c>
      <c r="F36" s="46" t="e">
        <f>F34+F33</f>
        <v>#REF!</v>
      </c>
    </row>
    <row r="37" spans="3:6" ht="18" hidden="1" x14ac:dyDescent="0.35">
      <c r="D37" s="46" t="e">
        <f>D36-D10</f>
        <v>#REF!</v>
      </c>
      <c r="F37" s="46" t="e">
        <f>F36-F10</f>
        <v>#REF!</v>
      </c>
    </row>
    <row r="38" spans="3:6" ht="18" hidden="1" x14ac:dyDescent="0.35"/>
    <row r="39" spans="3:6" ht="18" hidden="1" x14ac:dyDescent="0.35"/>
    <row r="40" spans="3:6" ht="18" hidden="1" x14ac:dyDescent="0.35"/>
    <row r="41" spans="3:6" ht="18" hidden="1" x14ac:dyDescent="0.35">
      <c r="D41" s="36">
        <v>3628.1</v>
      </c>
      <c r="F41" s="36">
        <v>3773.2</v>
      </c>
    </row>
    <row r="42" spans="3:6" ht="18" hidden="1" x14ac:dyDescent="0.35">
      <c r="D42" s="36">
        <v>10379.299999999999</v>
      </c>
      <c r="F42" s="36">
        <v>10917.1</v>
      </c>
    </row>
    <row r="43" spans="3:6" ht="18" hidden="1" x14ac:dyDescent="0.35"/>
    <row r="44" spans="3:6" ht="18" hidden="1" x14ac:dyDescent="0.35">
      <c r="C44" s="58"/>
      <c r="D44" s="58">
        <f>D41*2.5716</f>
        <v>9330.02196</v>
      </c>
      <c r="E44" s="58"/>
      <c r="F44" s="58">
        <f>F41*2.5716</f>
        <v>9703.1611200000007</v>
      </c>
    </row>
    <row r="45" spans="3:6" ht="18" hidden="1" x14ac:dyDescent="0.35">
      <c r="C45" s="58"/>
      <c r="D45" s="58">
        <f>D42*2.5716</f>
        <v>26691.407879999999</v>
      </c>
      <c r="E45" s="58"/>
      <c r="F45" s="58">
        <f>F42*2.5716</f>
        <v>28074.414360000002</v>
      </c>
    </row>
    <row r="46" spans="3:6" ht="18" hidden="1" x14ac:dyDescent="0.35"/>
    <row r="47" spans="3:6" ht="18" hidden="1" x14ac:dyDescent="0.35"/>
    <row r="48" spans="3:6" ht="18" hidden="1" x14ac:dyDescent="0.35">
      <c r="D48" s="46" t="e">
        <f>D33-D44</f>
        <v>#REF!</v>
      </c>
      <c r="F48" s="46" t="e">
        <f>F33-F44</f>
        <v>#REF!</v>
      </c>
    </row>
    <row r="49" spans="2:7" ht="18" hidden="1" x14ac:dyDescent="0.35">
      <c r="D49" s="46" t="e">
        <f>D34-D45</f>
        <v>#REF!</v>
      </c>
      <c r="F49" s="46" t="e">
        <f>F34-F45</f>
        <v>#REF!</v>
      </c>
    </row>
    <row r="50" spans="2:7" ht="18" hidden="1" x14ac:dyDescent="0.35"/>
    <row r="51" spans="2:7" ht="18" hidden="1" x14ac:dyDescent="0.35"/>
    <row r="52" spans="2:7" ht="18" hidden="1" x14ac:dyDescent="0.35"/>
    <row r="53" spans="2:7" x14ac:dyDescent="0.3">
      <c r="C53" s="59"/>
      <c r="E53" s="59"/>
      <c r="G53" s="59"/>
    </row>
    <row r="56" spans="2:7" x14ac:dyDescent="0.3">
      <c r="B56" s="46"/>
      <c r="D56" s="46"/>
    </row>
    <row r="57" spans="2:7" x14ac:dyDescent="0.3">
      <c r="B57" s="46"/>
      <c r="D57" s="46"/>
    </row>
    <row r="58" spans="2:7" x14ac:dyDescent="0.3">
      <c r="B58" s="46"/>
      <c r="D58" s="46"/>
    </row>
  </sheetData>
  <mergeCells count="17">
    <mergeCell ref="A28:H28"/>
    <mergeCell ref="A2:F2"/>
    <mergeCell ref="A3:F3"/>
    <mergeCell ref="A4:F4"/>
    <mergeCell ref="A6:A8"/>
    <mergeCell ref="B6:B8"/>
    <mergeCell ref="C7:D7"/>
    <mergeCell ref="E7:F7"/>
    <mergeCell ref="A24:A25"/>
    <mergeCell ref="A22:H22"/>
    <mergeCell ref="B24:C24"/>
    <mergeCell ref="D24:E24"/>
    <mergeCell ref="F24:G24"/>
    <mergeCell ref="A21:H21"/>
    <mergeCell ref="G7:H7"/>
    <mergeCell ref="D1:H1"/>
    <mergeCell ref="C6:H6"/>
  </mergeCells>
  <phoneticPr fontId="29" type="noConversion"/>
  <printOptions horizontalCentered="1"/>
  <pageMargins left="0.7" right="0.7" top="0.75" bottom="0.75" header="0.3" footer="0.3"/>
  <pageSetup paperSize="9" scale="41" orientation="landscape" horizontalDpi="300" verticalDpi="3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O95"/>
  <sheetViews>
    <sheetView view="pageBreakPreview" topLeftCell="A10" zoomScale="69" zoomScaleNormal="76" zoomScaleSheetLayoutView="69" workbookViewId="0">
      <selection activeCell="C1" sqref="C1"/>
    </sheetView>
  </sheetViews>
  <sheetFormatPr defaultColWidth="9.140625" defaultRowHeight="37.5" customHeight="1" x14ac:dyDescent="0.25"/>
  <cols>
    <col min="1" max="1" width="9.140625" style="61" customWidth="1"/>
    <col min="2" max="2" width="9.140625" style="61"/>
    <col min="3" max="3" width="51" style="61" customWidth="1"/>
    <col min="4" max="4" width="9" style="61" customWidth="1"/>
    <col min="5" max="5" width="17.7109375" style="61" customWidth="1"/>
    <col min="6" max="6" width="21.7109375" style="89" customWidth="1"/>
    <col min="7" max="7" width="20.5703125" style="89" customWidth="1"/>
    <col min="8" max="8" width="10.140625" style="89" customWidth="1"/>
    <col min="9" max="9" width="16.5703125" style="89" customWidth="1"/>
    <col min="10" max="10" width="13.42578125" style="89" customWidth="1"/>
    <col min="11" max="11" width="16.7109375" style="89" customWidth="1"/>
    <col min="12" max="12" width="18.28515625" style="89" customWidth="1"/>
    <col min="13" max="13" width="14.85546875" style="89" customWidth="1"/>
    <col min="14" max="14" width="17.140625" style="61" customWidth="1"/>
    <col min="15" max="15" width="15.5703125" style="61" customWidth="1"/>
    <col min="16" max="16" width="9.140625" style="61"/>
    <col min="17" max="17" width="17.85546875" style="61" customWidth="1"/>
    <col min="18" max="16384" width="9.140625" style="61"/>
  </cols>
  <sheetData>
    <row r="1" spans="1:15" s="86" customFormat="1" ht="108.75" customHeight="1" x14ac:dyDescent="0.25">
      <c r="F1" s="87"/>
      <c r="G1" s="87"/>
      <c r="H1" s="87"/>
      <c r="I1" s="222" t="s">
        <v>150</v>
      </c>
      <c r="J1" s="222"/>
      <c r="K1" s="222"/>
      <c r="L1" s="222"/>
      <c r="M1" s="222"/>
      <c r="N1" s="88"/>
    </row>
    <row r="2" spans="1:15" ht="22.5" customHeight="1" x14ac:dyDescent="0.3">
      <c r="M2" s="90"/>
    </row>
    <row r="3" spans="1:15" ht="21" customHeight="1" x14ac:dyDescent="0.3">
      <c r="A3" s="223" t="s">
        <v>29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5" ht="21" customHeight="1" x14ac:dyDescent="0.3">
      <c r="A4" s="223" t="s">
        <v>30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5" ht="21" customHeight="1" x14ac:dyDescent="0.3">
      <c r="A5" s="223" t="s">
        <v>131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5" ht="19.899999999999999" customHeight="1" x14ac:dyDescent="0.3">
      <c r="A6" s="93"/>
      <c r="B6" s="93"/>
      <c r="C6" s="93"/>
      <c r="D6" s="93"/>
      <c r="E6" s="93"/>
      <c r="F6" s="94"/>
      <c r="G6" s="94"/>
      <c r="H6" s="94"/>
      <c r="I6" s="94"/>
      <c r="J6" s="94"/>
      <c r="K6" s="94"/>
      <c r="L6" s="94"/>
      <c r="M6" s="94"/>
    </row>
    <row r="7" spans="1:15" ht="44.45" customHeight="1" x14ac:dyDescent="0.25">
      <c r="A7" s="221"/>
      <c r="B7" s="221"/>
      <c r="C7" s="221"/>
      <c r="D7" s="224" t="s">
        <v>31</v>
      </c>
      <c r="E7" s="224" t="s">
        <v>32</v>
      </c>
      <c r="F7" s="221" t="s">
        <v>33</v>
      </c>
      <c r="G7" s="221" t="s">
        <v>34</v>
      </c>
      <c r="H7" s="221" t="s">
        <v>35</v>
      </c>
      <c r="I7" s="224" t="s">
        <v>36</v>
      </c>
      <c r="J7" s="224"/>
      <c r="K7" s="224" t="s">
        <v>37</v>
      </c>
      <c r="L7" s="224"/>
      <c r="M7" s="224"/>
    </row>
    <row r="8" spans="1:15" ht="37.5" customHeight="1" x14ac:dyDescent="0.25">
      <c r="A8" s="221"/>
      <c r="B8" s="221"/>
      <c r="C8" s="221"/>
      <c r="D8" s="224"/>
      <c r="E8" s="224"/>
      <c r="F8" s="221"/>
      <c r="G8" s="221"/>
      <c r="H8" s="221"/>
      <c r="I8" s="224" t="s">
        <v>38</v>
      </c>
      <c r="J8" s="224"/>
      <c r="K8" s="224" t="s">
        <v>39</v>
      </c>
      <c r="L8" s="224"/>
      <c r="M8" s="224" t="s">
        <v>40</v>
      </c>
    </row>
    <row r="9" spans="1:15" ht="59.45" customHeight="1" x14ac:dyDescent="0.25">
      <c r="A9" s="221"/>
      <c r="B9" s="221"/>
      <c r="C9" s="221"/>
      <c r="D9" s="224"/>
      <c r="E9" s="224"/>
      <c r="F9" s="221"/>
      <c r="G9" s="221"/>
      <c r="H9" s="221"/>
      <c r="I9" s="95" t="s">
        <v>41</v>
      </c>
      <c r="J9" s="95" t="s">
        <v>42</v>
      </c>
      <c r="K9" s="95" t="s">
        <v>41</v>
      </c>
      <c r="L9" s="95" t="s">
        <v>43</v>
      </c>
      <c r="M9" s="224"/>
    </row>
    <row r="10" spans="1:15" ht="37.5" customHeight="1" x14ac:dyDescent="0.3">
      <c r="A10" s="227"/>
      <c r="B10" s="227"/>
      <c r="C10" s="227"/>
      <c r="D10" s="96">
        <v>1</v>
      </c>
      <c r="E10" s="96">
        <v>2</v>
      </c>
      <c r="F10" s="97">
        <v>3</v>
      </c>
      <c r="G10" s="97">
        <v>4</v>
      </c>
      <c r="H10" s="97"/>
      <c r="I10" s="97">
        <v>5</v>
      </c>
      <c r="J10" s="97">
        <v>6</v>
      </c>
      <c r="K10" s="97">
        <v>7</v>
      </c>
      <c r="L10" s="97">
        <v>8</v>
      </c>
      <c r="M10" s="97">
        <v>9</v>
      </c>
    </row>
    <row r="11" spans="1:15" ht="37.5" customHeight="1" x14ac:dyDescent="0.25">
      <c r="A11" s="228" t="s">
        <v>44</v>
      </c>
      <c r="B11" s="228"/>
      <c r="C11" s="228"/>
      <c r="D11" s="98" t="s">
        <v>10</v>
      </c>
      <c r="E11" s="98"/>
      <c r="F11" s="70" t="s">
        <v>45</v>
      </c>
      <c r="G11" s="70" t="s">
        <v>45</v>
      </c>
      <c r="H11" s="65">
        <v>3.3929999999999998</v>
      </c>
      <c r="I11" s="85">
        <f>K11/N11*1000</f>
        <v>9724.4216159214884</v>
      </c>
      <c r="J11" s="70" t="s">
        <v>45</v>
      </c>
      <c r="K11" s="99">
        <f>K12+K14+K15+K18+K20+K22+K23+K24+K16</f>
        <v>9393003.6028292682</v>
      </c>
      <c r="L11" s="70" t="s">
        <v>45</v>
      </c>
      <c r="M11" s="99">
        <f>ROUND(K11/(K74+L74)*100,2)</f>
        <v>21.21</v>
      </c>
      <c r="N11" s="61">
        <v>965919</v>
      </c>
      <c r="O11" s="61" t="s">
        <v>46</v>
      </c>
    </row>
    <row r="12" spans="1:15" ht="37.5" customHeight="1" x14ac:dyDescent="0.25">
      <c r="A12" s="229" t="s">
        <v>47</v>
      </c>
      <c r="B12" s="229"/>
      <c r="C12" s="229"/>
      <c r="D12" s="62" t="s">
        <v>12</v>
      </c>
      <c r="E12" s="62" t="s">
        <v>48</v>
      </c>
      <c r="F12" s="100">
        <f>1300/N11+F13</f>
        <v>3.9340772880541745E-3</v>
      </c>
      <c r="G12" s="85">
        <f>I12/F12</f>
        <v>246245.31789473683</v>
      </c>
      <c r="H12" s="65">
        <v>3.3929999999999998</v>
      </c>
      <c r="I12" s="85">
        <f>K12/N11*1000</f>
        <v>968.74811241936436</v>
      </c>
      <c r="J12" s="70" t="s">
        <v>45</v>
      </c>
      <c r="K12" s="85">
        <v>935732.20799999998</v>
      </c>
      <c r="L12" s="70" t="s">
        <v>45</v>
      </c>
      <c r="M12" s="70" t="s">
        <v>45</v>
      </c>
      <c r="N12" s="101"/>
      <c r="O12" s="102"/>
    </row>
    <row r="13" spans="1:15" ht="37.5" customHeight="1" x14ac:dyDescent="0.25">
      <c r="A13" s="230" t="s">
        <v>49</v>
      </c>
      <c r="B13" s="230"/>
      <c r="C13" s="230"/>
      <c r="D13" s="62" t="s">
        <v>14</v>
      </c>
      <c r="E13" s="103" t="s">
        <v>48</v>
      </c>
      <c r="F13" s="100">
        <f>2500/N11</f>
        <v>2.5882087421409041E-3</v>
      </c>
      <c r="G13" s="85">
        <f>G47</f>
        <v>6826.3</v>
      </c>
      <c r="H13" s="65">
        <v>3.3929999999999998</v>
      </c>
      <c r="I13" s="85">
        <f>G13*F13</f>
        <v>17.667889336476453</v>
      </c>
      <c r="J13" s="70" t="s">
        <v>45</v>
      </c>
      <c r="K13" s="85">
        <f>I13*N11/1000</f>
        <v>17065.75</v>
      </c>
      <c r="L13" s="70" t="s">
        <v>45</v>
      </c>
      <c r="M13" s="70" t="s">
        <v>45</v>
      </c>
    </row>
    <row r="14" spans="1:15" ht="51" customHeight="1" x14ac:dyDescent="0.25">
      <c r="A14" s="220" t="s">
        <v>146</v>
      </c>
      <c r="B14" s="220"/>
      <c r="C14" s="220"/>
      <c r="D14" s="62" t="s">
        <v>15</v>
      </c>
      <c r="E14" s="63" t="s">
        <v>51</v>
      </c>
      <c r="F14" s="65">
        <f>0.73</f>
        <v>0.73</v>
      </c>
      <c r="G14" s="85">
        <f>440.5*H14</f>
        <v>1494.6164999999999</v>
      </c>
      <c r="H14" s="65">
        <v>3.3929999999999998</v>
      </c>
      <c r="I14" s="85">
        <f>G14*F14</f>
        <v>1091.0700449999999</v>
      </c>
      <c r="J14" s="70" t="s">
        <v>45</v>
      </c>
      <c r="K14" s="85">
        <f>I14*N11/1000</f>
        <v>1053885.2867963549</v>
      </c>
      <c r="L14" s="70" t="s">
        <v>45</v>
      </c>
      <c r="M14" s="70" t="s">
        <v>45</v>
      </c>
    </row>
    <row r="15" spans="1:15" ht="37.5" customHeight="1" x14ac:dyDescent="0.25">
      <c r="A15" s="220"/>
      <c r="B15" s="220"/>
      <c r="C15" s="220"/>
      <c r="D15" s="62" t="s">
        <v>17</v>
      </c>
      <c r="E15" s="63" t="s">
        <v>52</v>
      </c>
      <c r="F15" s="65">
        <v>0.14399999999999999</v>
      </c>
      <c r="G15" s="85">
        <f>1277.3*H15</f>
        <v>4333.8788999999997</v>
      </c>
      <c r="H15" s="65">
        <v>3.3929999999999998</v>
      </c>
      <c r="I15" s="85">
        <f>G15*F15</f>
        <v>624.07856159999994</v>
      </c>
      <c r="J15" s="70" t="s">
        <v>45</v>
      </c>
      <c r="K15" s="85">
        <f>I15*N11/1000</f>
        <v>602809.34014211036</v>
      </c>
      <c r="L15" s="70" t="s">
        <v>45</v>
      </c>
      <c r="M15" s="70" t="s">
        <v>45</v>
      </c>
    </row>
    <row r="16" spans="1:15" ht="48.6" customHeight="1" x14ac:dyDescent="0.25">
      <c r="A16" s="226" t="s">
        <v>49</v>
      </c>
      <c r="B16" s="226"/>
      <c r="C16" s="226"/>
      <c r="D16" s="62" t="s">
        <v>18</v>
      </c>
      <c r="E16" s="103" t="s">
        <v>51</v>
      </c>
      <c r="F16" s="100">
        <f>1400/N11</f>
        <v>1.4493968955989064E-3</v>
      </c>
      <c r="G16" s="85">
        <f>G48</f>
        <v>1397.71</v>
      </c>
      <c r="H16" s="65">
        <v>3.3929999999999998</v>
      </c>
      <c r="I16" s="85">
        <f>F16*G16</f>
        <v>2.0258365349475476</v>
      </c>
      <c r="J16" s="70" t="s">
        <v>45</v>
      </c>
      <c r="K16" s="85">
        <f>I16*N11/1000</f>
        <v>1956.7940000000003</v>
      </c>
      <c r="L16" s="70" t="s">
        <v>45</v>
      </c>
      <c r="M16" s="70" t="s">
        <v>45</v>
      </c>
    </row>
    <row r="17" spans="1:15" ht="37.5" customHeight="1" x14ac:dyDescent="0.25">
      <c r="A17" s="226"/>
      <c r="B17" s="226"/>
      <c r="C17" s="226"/>
      <c r="D17" s="62" t="s">
        <v>19</v>
      </c>
      <c r="E17" s="103" t="s">
        <v>52</v>
      </c>
      <c r="F17" s="65"/>
      <c r="G17" s="85"/>
      <c r="H17" s="65">
        <v>3.3929999999999998</v>
      </c>
      <c r="I17" s="85"/>
      <c r="J17" s="70" t="s">
        <v>45</v>
      </c>
      <c r="K17" s="85"/>
      <c r="L17" s="70" t="s">
        <v>45</v>
      </c>
      <c r="M17" s="70" t="s">
        <v>45</v>
      </c>
    </row>
    <row r="18" spans="1:15" ht="37.5" customHeight="1" x14ac:dyDescent="0.25">
      <c r="A18" s="220" t="s">
        <v>147</v>
      </c>
      <c r="B18" s="220"/>
      <c r="C18" s="220"/>
      <c r="D18" s="62" t="s">
        <v>20</v>
      </c>
      <c r="E18" s="63" t="s">
        <v>54</v>
      </c>
      <c r="F18" s="100">
        <v>1.46E-2</v>
      </c>
      <c r="G18" s="85">
        <f>75560.8*H18</f>
        <v>256377.79439999998</v>
      </c>
      <c r="H18" s="65">
        <v>3.3929999999999998</v>
      </c>
      <c r="I18" s="85">
        <f>G18*F18</f>
        <v>3743.11579824</v>
      </c>
      <c r="J18" s="70" t="s">
        <v>45</v>
      </c>
      <c r="K18" s="85">
        <f>I18*N11/1000</f>
        <v>3615546.6687201825</v>
      </c>
      <c r="L18" s="70" t="s">
        <v>45</v>
      </c>
      <c r="M18" s="70" t="s">
        <v>45</v>
      </c>
    </row>
    <row r="19" spans="1:15" ht="37.5" customHeight="1" x14ac:dyDescent="0.25">
      <c r="A19" s="226" t="s">
        <v>49</v>
      </c>
      <c r="B19" s="226"/>
      <c r="C19" s="226"/>
      <c r="D19" s="62" t="s">
        <v>22</v>
      </c>
      <c r="E19" s="103" t="s">
        <v>54</v>
      </c>
      <c r="F19" s="104">
        <f>180/N11</f>
        <v>1.8635102943414511E-4</v>
      </c>
      <c r="G19" s="85">
        <f>G52</f>
        <v>86905.047289532798</v>
      </c>
      <c r="H19" s="65">
        <v>3.3929999999999998</v>
      </c>
      <c r="I19" s="85">
        <f>G19*F19</f>
        <v>16.194845025427497</v>
      </c>
      <c r="J19" s="70" t="s">
        <v>45</v>
      </c>
      <c r="K19" s="85">
        <f>I19*N11/1000</f>
        <v>15642.908512115902</v>
      </c>
      <c r="L19" s="70" t="s">
        <v>45</v>
      </c>
      <c r="M19" s="70" t="s">
        <v>45</v>
      </c>
    </row>
    <row r="20" spans="1:15" ht="30" customHeight="1" x14ac:dyDescent="0.25">
      <c r="A20" s="220" t="s">
        <v>148</v>
      </c>
      <c r="B20" s="220"/>
      <c r="C20" s="220"/>
      <c r="D20" s="62" t="s">
        <v>23</v>
      </c>
      <c r="E20" s="63" t="s">
        <v>56</v>
      </c>
      <c r="F20" s="65">
        <v>4.0000000000000001E-3</v>
      </c>
      <c r="G20" s="85">
        <f>13045.5*H20</f>
        <v>44263.381499999996</v>
      </c>
      <c r="H20" s="65">
        <v>3.3929999999999998</v>
      </c>
      <c r="I20" s="85">
        <f>G20*F20</f>
        <v>177.05352599999998</v>
      </c>
      <c r="J20" s="70" t="s">
        <v>45</v>
      </c>
      <c r="K20" s="85">
        <f>I20*N11/1000</f>
        <v>171019.36478039398</v>
      </c>
      <c r="L20" s="70" t="s">
        <v>45</v>
      </c>
      <c r="M20" s="70" t="s">
        <v>45</v>
      </c>
    </row>
    <row r="21" spans="1:15" ht="31.9" customHeight="1" x14ac:dyDescent="0.25">
      <c r="A21" s="226" t="s">
        <v>49</v>
      </c>
      <c r="B21" s="226"/>
      <c r="C21" s="226"/>
      <c r="D21" s="62" t="s">
        <v>57</v>
      </c>
      <c r="E21" s="103" t="s">
        <v>56</v>
      </c>
      <c r="F21" s="65"/>
      <c r="G21" s="85"/>
      <c r="H21" s="65">
        <v>3.3929999999999998</v>
      </c>
      <c r="I21" s="85"/>
      <c r="J21" s="70" t="s">
        <v>45</v>
      </c>
      <c r="K21" s="85"/>
      <c r="L21" s="70" t="s">
        <v>45</v>
      </c>
      <c r="M21" s="70" t="s">
        <v>45</v>
      </c>
    </row>
    <row r="22" spans="1:15" ht="37.5" customHeight="1" x14ac:dyDescent="0.25">
      <c r="A22" s="220" t="s">
        <v>58</v>
      </c>
      <c r="B22" s="220"/>
      <c r="C22" s="220"/>
      <c r="D22" s="62" t="s">
        <v>59</v>
      </c>
      <c r="E22" s="63" t="s">
        <v>60</v>
      </c>
      <c r="F22" s="105"/>
      <c r="G22" s="85"/>
      <c r="H22" s="65">
        <v>3.3929999999999998</v>
      </c>
      <c r="I22" s="85"/>
      <c r="J22" s="70" t="s">
        <v>45</v>
      </c>
      <c r="K22" s="85"/>
      <c r="L22" s="70" t="s">
        <v>45</v>
      </c>
      <c r="M22" s="70" t="s">
        <v>45</v>
      </c>
    </row>
    <row r="23" spans="1:15" ht="37.5" customHeight="1" x14ac:dyDescent="0.25">
      <c r="A23" s="220" t="s">
        <v>61</v>
      </c>
      <c r="B23" s="220"/>
      <c r="C23" s="220"/>
      <c r="D23" s="62" t="s">
        <v>62</v>
      </c>
      <c r="E23" s="62" t="s">
        <v>63</v>
      </c>
      <c r="F23" s="67"/>
      <c r="G23" s="60"/>
      <c r="H23" s="65">
        <v>3.3929999999999998</v>
      </c>
      <c r="I23" s="85">
        <f>K23/N11*1000</f>
        <v>2778.8542562991588</v>
      </c>
      <c r="J23" s="70" t="s">
        <v>45</v>
      </c>
      <c r="K23" s="85">
        <f>'не нужно'!I65</f>
        <v>2684148.1243902273</v>
      </c>
      <c r="L23" s="70" t="s">
        <v>45</v>
      </c>
      <c r="M23" s="70" t="s">
        <v>45</v>
      </c>
      <c r="N23" s="102"/>
      <c r="O23" s="102"/>
    </row>
    <row r="24" spans="1:15" ht="37.5" customHeight="1" x14ac:dyDescent="0.25">
      <c r="A24" s="220" t="s">
        <v>64</v>
      </c>
      <c r="B24" s="220"/>
      <c r="C24" s="220"/>
      <c r="D24" s="62" t="s">
        <v>65</v>
      </c>
      <c r="E24" s="63" t="s">
        <v>54</v>
      </c>
      <c r="F24" s="100">
        <f>1366/N11</f>
        <v>1.4141972567057899E-3</v>
      </c>
      <c r="G24" s="85">
        <f>I24/F24</f>
        <v>240048.1815519766</v>
      </c>
      <c r="H24" s="65">
        <v>3.3929999999999998</v>
      </c>
      <c r="I24" s="85">
        <f>K24/N11*1000</f>
        <v>339.47547982801871</v>
      </c>
      <c r="J24" s="70" t="s">
        <v>45</v>
      </c>
      <c r="K24" s="85">
        <f>327905816/1000</f>
        <v>327905.81599999999</v>
      </c>
      <c r="L24" s="70" t="s">
        <v>45</v>
      </c>
      <c r="M24" s="70" t="s">
        <v>45</v>
      </c>
    </row>
    <row r="25" spans="1:15" ht="37.5" customHeight="1" x14ac:dyDescent="0.25">
      <c r="A25" s="225" t="s">
        <v>66</v>
      </c>
      <c r="B25" s="225"/>
      <c r="C25" s="225"/>
      <c r="D25" s="98" t="s">
        <v>67</v>
      </c>
      <c r="E25" s="98"/>
      <c r="F25" s="70"/>
      <c r="G25" s="106"/>
      <c r="H25" s="65">
        <v>3.3929999999999998</v>
      </c>
      <c r="I25" s="85">
        <f>K25/N11*1000</f>
        <v>36.23492238997266</v>
      </c>
      <c r="J25" s="70" t="s">
        <v>45</v>
      </c>
      <c r="K25" s="99">
        <f>K26+K27+K28+K29</f>
        <v>35000</v>
      </c>
      <c r="L25" s="70" t="s">
        <v>45</v>
      </c>
      <c r="M25" s="107">
        <f>K25/(K74+L74)*100</f>
        <v>7.9041036025465014E-2</v>
      </c>
    </row>
    <row r="26" spans="1:15" ht="25.5" customHeight="1" x14ac:dyDescent="0.25">
      <c r="A26" s="220" t="s">
        <v>68</v>
      </c>
      <c r="B26" s="220"/>
      <c r="C26" s="220"/>
      <c r="D26" s="62" t="s">
        <v>69</v>
      </c>
      <c r="E26" s="62" t="s">
        <v>63</v>
      </c>
      <c r="F26" s="67"/>
      <c r="G26" s="60"/>
      <c r="H26" s="65">
        <v>3.3929999999999998</v>
      </c>
      <c r="I26" s="85">
        <f>K26/N11*1000</f>
        <v>0</v>
      </c>
      <c r="J26" s="70" t="s">
        <v>45</v>
      </c>
      <c r="K26" s="85">
        <v>0</v>
      </c>
      <c r="L26" s="70" t="s">
        <v>45</v>
      </c>
      <c r="M26" s="70" t="s">
        <v>45</v>
      </c>
    </row>
    <row r="27" spans="1:15" ht="25.5" customHeight="1" x14ac:dyDescent="0.25">
      <c r="A27" s="220" t="s">
        <v>70</v>
      </c>
      <c r="B27" s="220"/>
      <c r="C27" s="220"/>
      <c r="D27" s="62" t="s">
        <v>71</v>
      </c>
      <c r="E27" s="62" t="s">
        <v>63</v>
      </c>
      <c r="F27" s="67"/>
      <c r="G27" s="60"/>
      <c r="H27" s="65">
        <v>3.3929999999999998</v>
      </c>
      <c r="I27" s="85">
        <f>K27/N11*1000</f>
        <v>0</v>
      </c>
      <c r="J27" s="70" t="s">
        <v>45</v>
      </c>
      <c r="K27" s="85"/>
      <c r="L27" s="70" t="s">
        <v>45</v>
      </c>
      <c r="M27" s="70" t="s">
        <v>45</v>
      </c>
    </row>
    <row r="28" spans="1:15" ht="25.5" customHeight="1" x14ac:dyDescent="0.25">
      <c r="A28" s="220" t="s">
        <v>72</v>
      </c>
      <c r="B28" s="220"/>
      <c r="C28" s="220"/>
      <c r="D28" s="62" t="s">
        <v>73</v>
      </c>
      <c r="E28" s="63" t="s">
        <v>63</v>
      </c>
      <c r="F28" s="67"/>
      <c r="G28" s="60"/>
      <c r="H28" s="65">
        <v>3.3929999999999998</v>
      </c>
      <c r="I28" s="85">
        <f>K28/957400*1000</f>
        <v>0</v>
      </c>
      <c r="J28" s="70" t="s">
        <v>45</v>
      </c>
      <c r="K28" s="85">
        <v>0</v>
      </c>
      <c r="L28" s="70" t="s">
        <v>45</v>
      </c>
      <c r="M28" s="70" t="s">
        <v>45</v>
      </c>
    </row>
    <row r="29" spans="1:15" ht="25.5" customHeight="1" x14ac:dyDescent="0.25">
      <c r="A29" s="220" t="s">
        <v>74</v>
      </c>
      <c r="B29" s="220"/>
      <c r="C29" s="220"/>
      <c r="D29" s="62" t="s">
        <v>75</v>
      </c>
      <c r="E29" s="63" t="s">
        <v>63</v>
      </c>
      <c r="F29" s="67"/>
      <c r="G29" s="60"/>
      <c r="H29" s="65">
        <v>3.3929999999999998</v>
      </c>
      <c r="I29" s="85">
        <f>K29/N11*1000</f>
        <v>36.23492238997266</v>
      </c>
      <c r="J29" s="70" t="s">
        <v>45</v>
      </c>
      <c r="K29" s="85">
        <v>35000</v>
      </c>
      <c r="L29" s="70" t="s">
        <v>45</v>
      </c>
      <c r="M29" s="70" t="s">
        <v>45</v>
      </c>
    </row>
    <row r="30" spans="1:15" s="111" customFormat="1" ht="37.5" customHeight="1" x14ac:dyDescent="0.25">
      <c r="A30" s="215" t="s">
        <v>76</v>
      </c>
      <c r="B30" s="215"/>
      <c r="C30" s="215"/>
      <c r="D30" s="98" t="s">
        <v>77</v>
      </c>
      <c r="E30" s="98"/>
      <c r="F30" s="70"/>
      <c r="G30" s="106"/>
      <c r="H30" s="108">
        <v>2.95</v>
      </c>
      <c r="I30" s="70" t="s">
        <v>45</v>
      </c>
      <c r="J30" s="99">
        <f t="shared" ref="J30:J46" si="0">L30/974393*1000</f>
        <v>35768.722168570581</v>
      </c>
      <c r="K30" s="70" t="s">
        <v>45</v>
      </c>
      <c r="L30" s="109">
        <f>L44+L46+L59</f>
        <v>34852792.5</v>
      </c>
      <c r="M30" s="99">
        <f>ROUND(L30/(K74+L74)*100,2)</f>
        <v>78.709999999999994</v>
      </c>
      <c r="N30" s="110"/>
      <c r="O30" s="110"/>
    </row>
    <row r="31" spans="1:15" s="111" customFormat="1" ht="15" customHeight="1" x14ac:dyDescent="0.25">
      <c r="A31" s="215" t="s">
        <v>78</v>
      </c>
      <c r="B31" s="215"/>
      <c r="C31" s="215"/>
      <c r="D31" s="98" t="s">
        <v>79</v>
      </c>
      <c r="E31" s="98" t="s">
        <v>48</v>
      </c>
      <c r="F31" s="112">
        <f>J31/G31</f>
        <v>0.30000000289107764</v>
      </c>
      <c r="G31" s="113">
        <f>G47</f>
        <v>6826.3</v>
      </c>
      <c r="H31" s="108">
        <v>2.95</v>
      </c>
      <c r="I31" s="70" t="s">
        <v>45</v>
      </c>
      <c r="J31" s="99">
        <f t="shared" si="0"/>
        <v>2047.8900197353632</v>
      </c>
      <c r="K31" s="70" t="s">
        <v>45</v>
      </c>
      <c r="L31" s="114">
        <f t="shared" ref="L31:L36" si="1">L47+L60</f>
        <v>1995449.7</v>
      </c>
      <c r="M31" s="70" t="s">
        <v>45</v>
      </c>
      <c r="N31" s="110"/>
    </row>
    <row r="32" spans="1:15" s="111" customFormat="1" ht="38.25" x14ac:dyDescent="0.25">
      <c r="A32" s="220" t="s">
        <v>130</v>
      </c>
      <c r="B32" s="231" t="s">
        <v>80</v>
      </c>
      <c r="C32" s="115" t="s">
        <v>81</v>
      </c>
      <c r="D32" s="98" t="s">
        <v>82</v>
      </c>
      <c r="E32" s="116" t="s">
        <v>83</v>
      </c>
      <c r="F32" s="112">
        <f>F48+F61</f>
        <v>2.88</v>
      </c>
      <c r="G32" s="113">
        <f t="shared" ref="G32:G40" si="2">J32/F32</f>
        <v>1397.7100145081774</v>
      </c>
      <c r="H32" s="108">
        <v>2.95</v>
      </c>
      <c r="I32" s="70" t="s">
        <v>45</v>
      </c>
      <c r="J32" s="99">
        <f>L32/974393*1000</f>
        <v>4025.4048417835511</v>
      </c>
      <c r="K32" s="70" t="s">
        <v>45</v>
      </c>
      <c r="L32" s="109">
        <f t="shared" si="1"/>
        <v>3922326.3</v>
      </c>
      <c r="M32" s="70" t="s">
        <v>45</v>
      </c>
    </row>
    <row r="33" spans="1:15" s="111" customFormat="1" ht="76.5" x14ac:dyDescent="0.25">
      <c r="A33" s="220"/>
      <c r="B33" s="231"/>
      <c r="C33" s="83" t="s">
        <v>159</v>
      </c>
      <c r="D33" s="62" t="s">
        <v>160</v>
      </c>
      <c r="E33" s="117" t="s">
        <v>173</v>
      </c>
      <c r="F33" s="118">
        <f>F49+F62</f>
        <v>0.79</v>
      </c>
      <c r="G33" s="85">
        <f t="shared" si="2"/>
        <v>3008.1150034243324</v>
      </c>
      <c r="H33" s="65">
        <v>2.95</v>
      </c>
      <c r="I33" s="67" t="s">
        <v>45</v>
      </c>
      <c r="J33" s="119">
        <f>L33/974393*1000</f>
        <v>2376.4108527052226</v>
      </c>
      <c r="K33" s="67" t="s">
        <v>45</v>
      </c>
      <c r="L33" s="120">
        <f t="shared" si="1"/>
        <v>2315558.1</v>
      </c>
      <c r="M33" s="67" t="s">
        <v>45</v>
      </c>
    </row>
    <row r="34" spans="1:15" s="111" customFormat="1" ht="49.15" customHeight="1" x14ac:dyDescent="0.25">
      <c r="A34" s="220"/>
      <c r="B34" s="231"/>
      <c r="C34" s="115" t="s">
        <v>84</v>
      </c>
      <c r="D34" s="98" t="s">
        <v>85</v>
      </c>
      <c r="E34" s="116" t="s">
        <v>86</v>
      </c>
      <c r="F34" s="112">
        <f>F50+F63</f>
        <v>0.56000000000000005</v>
      </c>
      <c r="G34" s="113">
        <f t="shared" si="2"/>
        <v>1774.1299675065106</v>
      </c>
      <c r="H34" s="108">
        <v>2.95</v>
      </c>
      <c r="I34" s="70" t="s">
        <v>45</v>
      </c>
      <c r="J34" s="99">
        <f>L34/974393*1000</f>
        <v>993.51278180364602</v>
      </c>
      <c r="K34" s="70" t="s">
        <v>45</v>
      </c>
      <c r="L34" s="109">
        <f t="shared" si="1"/>
        <v>968071.9</v>
      </c>
      <c r="M34" s="70" t="s">
        <v>45</v>
      </c>
    </row>
    <row r="35" spans="1:15" s="111" customFormat="1" ht="15" x14ac:dyDescent="0.25">
      <c r="A35" s="220"/>
      <c r="B35" s="231"/>
      <c r="C35" s="115" t="s">
        <v>87</v>
      </c>
      <c r="D35" s="98" t="s">
        <v>88</v>
      </c>
      <c r="E35" s="116" t="s">
        <v>52</v>
      </c>
      <c r="F35" s="112">
        <f>F51+F64</f>
        <v>1.77</v>
      </c>
      <c r="G35" s="113">
        <f t="shared" si="2"/>
        <v>3878.65999914036</v>
      </c>
      <c r="H35" s="108">
        <v>2.95</v>
      </c>
      <c r="I35" s="70" t="s">
        <v>45</v>
      </c>
      <c r="J35" s="99">
        <f t="shared" si="0"/>
        <v>6865.2281984784377</v>
      </c>
      <c r="K35" s="70" t="s">
        <v>45</v>
      </c>
      <c r="L35" s="109">
        <f t="shared" si="1"/>
        <v>6689430.2999999998</v>
      </c>
      <c r="M35" s="70" t="s">
        <v>45</v>
      </c>
    </row>
    <row r="36" spans="1:15" s="111" customFormat="1" ht="25.5" x14ac:dyDescent="0.25">
      <c r="A36" s="215" t="s">
        <v>195</v>
      </c>
      <c r="B36" s="215"/>
      <c r="C36" s="215"/>
      <c r="D36" s="98" t="s">
        <v>89</v>
      </c>
      <c r="E36" s="121" t="s">
        <v>54</v>
      </c>
      <c r="F36" s="112">
        <f>F52+F65</f>
        <v>0.19500000000000001</v>
      </c>
      <c r="G36" s="113">
        <f t="shared" si="2"/>
        <v>86905.047289532798</v>
      </c>
      <c r="H36" s="108">
        <v>2.95</v>
      </c>
      <c r="I36" s="70" t="s">
        <v>45</v>
      </c>
      <c r="J36" s="99">
        <f t="shared" si="0"/>
        <v>16946.484221458897</v>
      </c>
      <c r="K36" s="70" t="s">
        <v>45</v>
      </c>
      <c r="L36" s="109">
        <f t="shared" si="1"/>
        <v>16512535.599999998</v>
      </c>
      <c r="M36" s="70" t="s">
        <v>45</v>
      </c>
    </row>
    <row r="37" spans="1:15" s="111" customFormat="1" ht="25.5" customHeight="1" x14ac:dyDescent="0.25">
      <c r="A37" s="217" t="s">
        <v>164</v>
      </c>
      <c r="B37" s="217"/>
      <c r="C37" s="217"/>
      <c r="D37" s="63" t="s">
        <v>90</v>
      </c>
      <c r="E37" s="63" t="str">
        <f t="shared" ref="E37:M37" si="3">E53</f>
        <v>случай госпитализации</v>
      </c>
      <c r="F37" s="63">
        <f t="shared" si="3"/>
        <v>9.1000000000000004E-3</v>
      </c>
      <c r="G37" s="122">
        <f t="shared" si="3"/>
        <v>226290.07500000001</v>
      </c>
      <c r="H37" s="63">
        <f t="shared" si="3"/>
        <v>2.95</v>
      </c>
      <c r="I37" s="63" t="str">
        <f t="shared" si="3"/>
        <v>Х</v>
      </c>
      <c r="J37" s="123">
        <f t="shared" si="3"/>
        <v>2059.2396825000001</v>
      </c>
      <c r="K37" s="63" t="str">
        <f t="shared" si="3"/>
        <v>Х</v>
      </c>
      <c r="L37" s="124">
        <f t="shared" si="3"/>
        <v>2006508.7</v>
      </c>
      <c r="M37" s="63" t="str">
        <f t="shared" si="3"/>
        <v>Х</v>
      </c>
    </row>
    <row r="38" spans="1:15" s="111" customFormat="1" ht="25.5" customHeight="1" x14ac:dyDescent="0.25">
      <c r="A38" s="217" t="s">
        <v>175</v>
      </c>
      <c r="B38" s="217"/>
      <c r="C38" s="217"/>
      <c r="D38" s="62" t="s">
        <v>91</v>
      </c>
      <c r="E38" s="63" t="s">
        <v>54</v>
      </c>
      <c r="F38" s="118">
        <f>F54+F67</f>
        <v>4.0000000000000001E-3</v>
      </c>
      <c r="G38" s="85">
        <f t="shared" si="2"/>
        <v>102236.98240853536</v>
      </c>
      <c r="H38" s="65">
        <v>2.95</v>
      </c>
      <c r="I38" s="67" t="s">
        <v>45</v>
      </c>
      <c r="J38" s="119">
        <f>L38/974393*1000</f>
        <v>408.94792963414147</v>
      </c>
      <c r="K38" s="67" t="s">
        <v>45</v>
      </c>
      <c r="L38" s="120">
        <f>L54+L67</f>
        <v>398476</v>
      </c>
      <c r="M38" s="67" t="s">
        <v>45</v>
      </c>
    </row>
    <row r="39" spans="1:15" s="111" customFormat="1" ht="25.5" customHeight="1" x14ac:dyDescent="0.25">
      <c r="A39" s="219" t="s">
        <v>176</v>
      </c>
      <c r="B39" s="219"/>
      <c r="C39" s="219"/>
      <c r="D39" s="62" t="s">
        <v>174</v>
      </c>
      <c r="E39" s="63" t="s">
        <v>54</v>
      </c>
      <c r="F39" s="125">
        <f>F55</f>
        <v>3.3200156405064486E-3</v>
      </c>
      <c r="G39" s="85">
        <f t="shared" si="2"/>
        <v>251641.36012364761</v>
      </c>
      <c r="H39" s="65">
        <v>2.95</v>
      </c>
      <c r="I39" s="67" t="s">
        <v>45</v>
      </c>
      <c r="J39" s="119">
        <f>L39/974393*1000</f>
        <v>835.45325140882585</v>
      </c>
      <c r="K39" s="67" t="s">
        <v>45</v>
      </c>
      <c r="L39" s="120">
        <f>L55+L66</f>
        <v>814059.8</v>
      </c>
      <c r="M39" s="67" t="s">
        <v>45</v>
      </c>
    </row>
    <row r="40" spans="1:15" s="111" customFormat="1" ht="15" x14ac:dyDescent="0.25">
      <c r="A40" s="215" t="s">
        <v>197</v>
      </c>
      <c r="B40" s="215"/>
      <c r="C40" s="215"/>
      <c r="D40" s="98" t="s">
        <v>92</v>
      </c>
      <c r="E40" s="121" t="s">
        <v>56</v>
      </c>
      <c r="F40" s="112">
        <f>F56+F69</f>
        <v>7.0000000000000007E-2</v>
      </c>
      <c r="G40" s="113">
        <f t="shared" si="2"/>
        <v>56834.995149361115</v>
      </c>
      <c r="H40" s="108">
        <v>2.95</v>
      </c>
      <c r="I40" s="70" t="s">
        <v>45</v>
      </c>
      <c r="J40" s="99">
        <f t="shared" si="0"/>
        <v>3978.4496604552783</v>
      </c>
      <c r="K40" s="70" t="s">
        <v>45</v>
      </c>
      <c r="L40" s="109">
        <f>L56+L71</f>
        <v>3876573.5</v>
      </c>
      <c r="M40" s="70" t="s">
        <v>45</v>
      </c>
    </row>
    <row r="41" spans="1:15" s="111" customFormat="1" ht="15" customHeight="1" x14ac:dyDescent="0.25">
      <c r="A41" s="217" t="s">
        <v>177</v>
      </c>
      <c r="B41" s="217"/>
      <c r="C41" s="217"/>
      <c r="D41" s="63" t="s">
        <v>145</v>
      </c>
      <c r="E41" s="123" t="str">
        <f>E57</f>
        <v>случай лечения</v>
      </c>
      <c r="F41" s="123">
        <f>F57+F70</f>
        <v>6.3099999999999996E-3</v>
      </c>
      <c r="G41" s="123">
        <f>G57+G70</f>
        <v>208230.47000000003</v>
      </c>
      <c r="H41" s="123">
        <f>H57</f>
        <v>2.95</v>
      </c>
      <c r="I41" s="123" t="str">
        <f>I57</f>
        <v>Х</v>
      </c>
      <c r="J41" s="119">
        <f t="shared" si="0"/>
        <v>1313.9343160305955</v>
      </c>
      <c r="K41" s="123" t="str">
        <f>K57</f>
        <v>Х</v>
      </c>
      <c r="L41" s="124">
        <f>L57+L70</f>
        <v>1280288.3999999999</v>
      </c>
      <c r="M41" s="123" t="str">
        <f>M57</f>
        <v>Х</v>
      </c>
    </row>
    <row r="42" spans="1:15" s="111" customFormat="1" ht="37.5" customHeight="1" x14ac:dyDescent="0.25">
      <c r="A42" s="217" t="s">
        <v>178</v>
      </c>
      <c r="B42" s="217"/>
      <c r="C42" s="217"/>
      <c r="D42" s="63" t="s">
        <v>152</v>
      </c>
      <c r="E42" s="123" t="s">
        <v>56</v>
      </c>
      <c r="F42" s="123">
        <f>F58+F71</f>
        <v>4.7800000000000002E-4</v>
      </c>
      <c r="G42" s="123">
        <f>G58+G71</f>
        <v>336027.125</v>
      </c>
      <c r="H42" s="123">
        <v>2.95</v>
      </c>
      <c r="I42" s="123" t="s">
        <v>45</v>
      </c>
      <c r="J42" s="119">
        <f t="shared" si="0"/>
        <v>160.62091989577101</v>
      </c>
      <c r="K42" s="123" t="s">
        <v>45</v>
      </c>
      <c r="L42" s="124">
        <f>L58+L71</f>
        <v>156507.9</v>
      </c>
      <c r="M42" s="123" t="s">
        <v>45</v>
      </c>
    </row>
    <row r="43" spans="1:15" s="111" customFormat="1" ht="15" customHeight="1" x14ac:dyDescent="0.25">
      <c r="A43" s="215" t="s">
        <v>179</v>
      </c>
      <c r="B43" s="215"/>
      <c r="C43" s="215"/>
      <c r="D43" s="98" t="s">
        <v>94</v>
      </c>
      <c r="E43" s="121" t="s">
        <v>60</v>
      </c>
      <c r="F43" s="112">
        <f>F72</f>
        <v>9.1999999999999998E-2</v>
      </c>
      <c r="G43" s="113">
        <f>G72</f>
        <v>5967.5550000000003</v>
      </c>
      <c r="H43" s="108">
        <v>2.95</v>
      </c>
      <c r="I43" s="70" t="s">
        <v>45</v>
      </c>
      <c r="J43" s="99">
        <f t="shared" si="0"/>
        <v>544.2444680944958</v>
      </c>
      <c r="K43" s="70" t="s">
        <v>45</v>
      </c>
      <c r="L43" s="109">
        <f>L72</f>
        <v>530308</v>
      </c>
      <c r="M43" s="70" t="s">
        <v>45</v>
      </c>
    </row>
    <row r="44" spans="1:15" s="111" customFormat="1" ht="15" customHeight="1" x14ac:dyDescent="0.25">
      <c r="A44" s="215" t="s">
        <v>180</v>
      </c>
      <c r="B44" s="215"/>
      <c r="C44" s="215"/>
      <c r="D44" s="98" t="s">
        <v>95</v>
      </c>
      <c r="E44" s="98" t="s">
        <v>63</v>
      </c>
      <c r="F44" s="70"/>
      <c r="G44" s="106"/>
      <c r="H44" s="108">
        <v>2.95</v>
      </c>
      <c r="I44" s="70" t="s">
        <v>45</v>
      </c>
      <c r="J44" s="99">
        <f>L44/974393*1000</f>
        <v>367.50797676091679</v>
      </c>
      <c r="K44" s="70" t="s">
        <v>45</v>
      </c>
      <c r="L44" s="114">
        <f>ROUND((35282692.4-228400.3-2500000)*1.1%,1)</f>
        <v>358097.2</v>
      </c>
      <c r="M44" s="70" t="s">
        <v>45</v>
      </c>
    </row>
    <row r="45" spans="1:15" s="111" customFormat="1" ht="15" x14ac:dyDescent="0.25">
      <c r="A45" s="215" t="s">
        <v>181</v>
      </c>
      <c r="B45" s="215"/>
      <c r="C45" s="215"/>
      <c r="D45" s="98" t="s">
        <v>97</v>
      </c>
      <c r="E45" s="98" t="s">
        <v>63</v>
      </c>
      <c r="F45" s="70"/>
      <c r="G45" s="106"/>
      <c r="H45" s="108"/>
      <c r="I45" s="70" t="s">
        <v>45</v>
      </c>
      <c r="J45" s="99"/>
      <c r="K45" s="70" t="s">
        <v>45</v>
      </c>
      <c r="L45" s="114">
        <v>0</v>
      </c>
      <c r="M45" s="70" t="s">
        <v>45</v>
      </c>
    </row>
    <row r="46" spans="1:15" s="111" customFormat="1" ht="37.5" customHeight="1" x14ac:dyDescent="0.25">
      <c r="A46" s="218" t="s">
        <v>96</v>
      </c>
      <c r="B46" s="218"/>
      <c r="C46" s="218"/>
      <c r="D46" s="62" t="s">
        <v>99</v>
      </c>
      <c r="E46" s="62"/>
      <c r="F46" s="70"/>
      <c r="G46" s="106"/>
      <c r="H46" s="108">
        <v>2.95</v>
      </c>
      <c r="I46" s="70" t="s">
        <v>45</v>
      </c>
      <c r="J46" s="99">
        <f t="shared" si="0"/>
        <v>34856.969723715178</v>
      </c>
      <c r="K46" s="70" t="s">
        <v>45</v>
      </c>
      <c r="L46" s="126">
        <f>L47+L48+L50+L51+L52+L56</f>
        <v>33964387.299999997</v>
      </c>
      <c r="M46" s="99">
        <f>L46/(L74+K74)*100</f>
        <v>76.702296004632757</v>
      </c>
      <c r="N46" s="110"/>
      <c r="O46" s="110"/>
    </row>
    <row r="47" spans="1:15" ht="15" customHeight="1" x14ac:dyDescent="0.25">
      <c r="A47" s="220" t="s">
        <v>98</v>
      </c>
      <c r="B47" s="220"/>
      <c r="C47" s="220"/>
      <c r="D47" s="62" t="s">
        <v>182</v>
      </c>
      <c r="E47" s="62" t="s">
        <v>48</v>
      </c>
      <c r="F47" s="64">
        <v>0.3</v>
      </c>
      <c r="G47" s="60">
        <f>2314*H47</f>
        <v>6826.3</v>
      </c>
      <c r="H47" s="65">
        <v>2.95</v>
      </c>
      <c r="I47" s="66" t="s">
        <v>45</v>
      </c>
      <c r="J47" s="60">
        <f t="shared" ref="J47:J56" si="4">G47*F47</f>
        <v>2047.8899999999999</v>
      </c>
      <c r="K47" s="67" t="s">
        <v>45</v>
      </c>
      <c r="L47" s="68">
        <f t="shared" ref="L47:L54" si="5">ROUND(J47*974393/1000,1)</f>
        <v>1995449.7</v>
      </c>
      <c r="M47" s="67" t="s">
        <v>45</v>
      </c>
      <c r="N47" s="127"/>
    </row>
    <row r="48" spans="1:15" ht="38.25" customHeight="1" x14ac:dyDescent="0.25">
      <c r="A48" s="220" t="s">
        <v>100</v>
      </c>
      <c r="B48" s="220"/>
      <c r="C48" s="220"/>
      <c r="D48" s="62" t="s">
        <v>101</v>
      </c>
      <c r="E48" s="117" t="s">
        <v>83</v>
      </c>
      <c r="F48" s="128">
        <v>2.88</v>
      </c>
      <c r="G48" s="60">
        <f>473.8*H48</f>
        <v>1397.71</v>
      </c>
      <c r="H48" s="65">
        <v>2.95</v>
      </c>
      <c r="I48" s="66" t="s">
        <v>45</v>
      </c>
      <c r="J48" s="60">
        <f t="shared" si="4"/>
        <v>4025.4047999999998</v>
      </c>
      <c r="K48" s="67" t="s">
        <v>45</v>
      </c>
      <c r="L48" s="68">
        <f t="shared" si="5"/>
        <v>3922326.3</v>
      </c>
      <c r="M48" s="67" t="s">
        <v>45</v>
      </c>
    </row>
    <row r="49" spans="1:15" ht="76.5" x14ac:dyDescent="0.25">
      <c r="A49" s="220"/>
      <c r="B49" s="220"/>
      <c r="C49" s="220"/>
      <c r="D49" s="62" t="s">
        <v>156</v>
      </c>
      <c r="E49" s="117" t="s">
        <v>173</v>
      </c>
      <c r="F49" s="128">
        <v>0.79</v>
      </c>
      <c r="G49" s="60">
        <f>1019.7*H49</f>
        <v>3008.1150000000002</v>
      </c>
      <c r="H49" s="65">
        <v>2.95</v>
      </c>
      <c r="I49" s="66" t="s">
        <v>45</v>
      </c>
      <c r="J49" s="60">
        <f t="shared" si="4"/>
        <v>2376.4108500000002</v>
      </c>
      <c r="K49" s="67" t="s">
        <v>45</v>
      </c>
      <c r="L49" s="68">
        <f t="shared" si="5"/>
        <v>2315558.1</v>
      </c>
      <c r="M49" s="67" t="s">
        <v>45</v>
      </c>
    </row>
    <row r="50" spans="1:15" ht="51" x14ac:dyDescent="0.25">
      <c r="A50" s="220"/>
      <c r="B50" s="220"/>
      <c r="C50" s="220"/>
      <c r="D50" s="62" t="s">
        <v>102</v>
      </c>
      <c r="E50" s="117" t="s">
        <v>86</v>
      </c>
      <c r="F50" s="128">
        <v>0.56000000000000005</v>
      </c>
      <c r="G50" s="60">
        <f>601.4*H50</f>
        <v>1774.13</v>
      </c>
      <c r="H50" s="65">
        <v>2.95</v>
      </c>
      <c r="I50" s="66" t="s">
        <v>45</v>
      </c>
      <c r="J50" s="60">
        <f t="shared" si="4"/>
        <v>993.5128000000002</v>
      </c>
      <c r="K50" s="67" t="s">
        <v>45</v>
      </c>
      <c r="L50" s="68">
        <f t="shared" si="5"/>
        <v>968071.9</v>
      </c>
      <c r="M50" s="67" t="s">
        <v>45</v>
      </c>
    </row>
    <row r="51" spans="1:15" ht="15" x14ac:dyDescent="0.25">
      <c r="A51" s="220"/>
      <c r="B51" s="220"/>
      <c r="C51" s="220"/>
      <c r="D51" s="62" t="s">
        <v>183</v>
      </c>
      <c r="E51" s="117" t="s">
        <v>52</v>
      </c>
      <c r="F51" s="128">
        <v>1.77</v>
      </c>
      <c r="G51" s="60">
        <f>1314.8*H51</f>
        <v>3878.6600000000003</v>
      </c>
      <c r="H51" s="65">
        <v>2.95</v>
      </c>
      <c r="I51" s="66" t="s">
        <v>45</v>
      </c>
      <c r="J51" s="60">
        <f t="shared" si="4"/>
        <v>6865.2282000000005</v>
      </c>
      <c r="K51" s="67" t="s">
        <v>45</v>
      </c>
      <c r="L51" s="68">
        <f t="shared" si="5"/>
        <v>6689430.2999999998</v>
      </c>
      <c r="M51" s="67" t="s">
        <v>45</v>
      </c>
    </row>
    <row r="52" spans="1:15" ht="25.5" customHeight="1" x14ac:dyDescent="0.25">
      <c r="A52" s="220" t="s">
        <v>194</v>
      </c>
      <c r="B52" s="220"/>
      <c r="C52" s="220"/>
      <c r="D52" s="62" t="s">
        <v>104</v>
      </c>
      <c r="E52" s="63" t="s">
        <v>54</v>
      </c>
      <c r="F52" s="64">
        <v>0.19500000000000001</v>
      </c>
      <c r="G52" s="60">
        <f>J52/F52</f>
        <v>86905.047289532798</v>
      </c>
      <c r="H52" s="65">
        <v>2.95</v>
      </c>
      <c r="I52" s="66" t="s">
        <v>45</v>
      </c>
      <c r="J52" s="60">
        <f>L52/974393*1000</f>
        <v>16946.484221458897</v>
      </c>
      <c r="K52" s="67" t="s">
        <v>45</v>
      </c>
      <c r="L52" s="68">
        <f>34852792.5-L44-L47-L48-L50-L51-L56-L59</f>
        <v>16512535.599999998</v>
      </c>
      <c r="M52" s="67" t="s">
        <v>45</v>
      </c>
    </row>
    <row r="53" spans="1:15" ht="25.5" customHeight="1" x14ac:dyDescent="0.25">
      <c r="A53" s="217" t="s">
        <v>153</v>
      </c>
      <c r="B53" s="217"/>
      <c r="C53" s="217"/>
      <c r="D53" s="62" t="s">
        <v>184</v>
      </c>
      <c r="E53" s="63" t="s">
        <v>54</v>
      </c>
      <c r="F53" s="129">
        <v>9.1000000000000004E-3</v>
      </c>
      <c r="G53" s="60">
        <f>76708.5*H53</f>
        <v>226290.07500000001</v>
      </c>
      <c r="H53" s="65">
        <v>2.95</v>
      </c>
      <c r="I53" s="66" t="s">
        <v>45</v>
      </c>
      <c r="J53" s="60">
        <f t="shared" ref="J53" si="6">G53*F53</f>
        <v>2059.2396825000001</v>
      </c>
      <c r="K53" s="66" t="s">
        <v>45</v>
      </c>
      <c r="L53" s="68">
        <f>ROUND(J53*974393/1000,1)</f>
        <v>2006508.7</v>
      </c>
      <c r="M53" s="67" t="s">
        <v>45</v>
      </c>
    </row>
    <row r="54" spans="1:15" ht="25.5" customHeight="1" x14ac:dyDescent="0.25">
      <c r="A54" s="217" t="s">
        <v>155</v>
      </c>
      <c r="B54" s="217"/>
      <c r="C54" s="217"/>
      <c r="D54" s="62" t="s">
        <v>144</v>
      </c>
      <c r="E54" s="63" t="s">
        <v>54</v>
      </c>
      <c r="F54" s="64">
        <v>4.0000000000000001E-3</v>
      </c>
      <c r="G54" s="60">
        <f>34656.6*H54</f>
        <v>102236.97</v>
      </c>
      <c r="H54" s="65">
        <v>2.95</v>
      </c>
      <c r="I54" s="66" t="s">
        <v>45</v>
      </c>
      <c r="J54" s="60">
        <f>G54*F54</f>
        <v>408.94788</v>
      </c>
      <c r="K54" s="66" t="s">
        <v>45</v>
      </c>
      <c r="L54" s="68">
        <f t="shared" si="5"/>
        <v>398476</v>
      </c>
      <c r="M54" s="67" t="s">
        <v>45</v>
      </c>
      <c r="N54" s="127"/>
    </row>
    <row r="55" spans="1:15" ht="25.5" customHeight="1" x14ac:dyDescent="0.25">
      <c r="A55" s="219" t="s">
        <v>157</v>
      </c>
      <c r="B55" s="219"/>
      <c r="C55" s="219"/>
      <c r="D55" s="62" t="s">
        <v>158</v>
      </c>
      <c r="E55" s="63" t="s">
        <v>54</v>
      </c>
      <c r="F55" s="130">
        <f>3235/974393</f>
        <v>3.3200156405064486E-3</v>
      </c>
      <c r="G55" s="60">
        <f>J55/F55</f>
        <v>251641.36012364761</v>
      </c>
      <c r="H55" s="65">
        <v>2.95</v>
      </c>
      <c r="I55" s="66" t="s">
        <v>45</v>
      </c>
      <c r="J55" s="60">
        <f>L55/974393*1000</f>
        <v>835.45325140882585</v>
      </c>
      <c r="K55" s="66" t="s">
        <v>45</v>
      </c>
      <c r="L55" s="68">
        <v>814059.8</v>
      </c>
      <c r="M55" s="67" t="s">
        <v>45</v>
      </c>
    </row>
    <row r="56" spans="1:15" ht="15" customHeight="1" x14ac:dyDescent="0.25">
      <c r="A56" s="220" t="s">
        <v>103</v>
      </c>
      <c r="B56" s="220"/>
      <c r="C56" s="220"/>
      <c r="D56" s="62" t="s">
        <v>106</v>
      </c>
      <c r="E56" s="63" t="s">
        <v>56</v>
      </c>
      <c r="F56" s="64">
        <f>0.062+0.008</f>
        <v>7.0000000000000007E-2</v>
      </c>
      <c r="G56" s="60">
        <f>19266.1*H56</f>
        <v>56834.995000000003</v>
      </c>
      <c r="H56" s="65">
        <v>2.95</v>
      </c>
      <c r="I56" s="66" t="s">
        <v>45</v>
      </c>
      <c r="J56" s="60">
        <f t="shared" si="4"/>
        <v>3978.4496500000005</v>
      </c>
      <c r="K56" s="66" t="s">
        <v>45</v>
      </c>
      <c r="L56" s="68">
        <f>ROUND(J56*974393/1000,1)</f>
        <v>3876573.5</v>
      </c>
      <c r="M56" s="67" t="s">
        <v>45</v>
      </c>
      <c r="O56" s="127"/>
    </row>
    <row r="57" spans="1:15" ht="15" customHeight="1" x14ac:dyDescent="0.25">
      <c r="A57" s="217" t="s">
        <v>153</v>
      </c>
      <c r="B57" s="217"/>
      <c r="C57" s="217"/>
      <c r="D57" s="62" t="s">
        <v>185</v>
      </c>
      <c r="E57" s="63" t="s">
        <v>56</v>
      </c>
      <c r="F57" s="129">
        <v>6.3099999999999996E-3</v>
      </c>
      <c r="G57" s="60">
        <f>70586.6*H57</f>
        <v>208230.47000000003</v>
      </c>
      <c r="H57" s="65">
        <v>2.95</v>
      </c>
      <c r="I57" s="66" t="s">
        <v>45</v>
      </c>
      <c r="J57" s="60">
        <f>G57*F57</f>
        <v>1313.9342657000002</v>
      </c>
      <c r="K57" s="66" t="s">
        <v>45</v>
      </c>
      <c r="L57" s="68">
        <f>ROUND(J57*974393/1000,1)</f>
        <v>1280288.3999999999</v>
      </c>
      <c r="M57" s="67" t="s">
        <v>45</v>
      </c>
    </row>
    <row r="58" spans="1:15" ht="15.75" customHeight="1" x14ac:dyDescent="0.25">
      <c r="A58" s="217" t="s">
        <v>154</v>
      </c>
      <c r="B58" s="217"/>
      <c r="C58" s="217"/>
      <c r="D58" s="62" t="s">
        <v>186</v>
      </c>
      <c r="E58" s="63" t="s">
        <v>56</v>
      </c>
      <c r="F58" s="129">
        <v>4.7800000000000002E-4</v>
      </c>
      <c r="G58" s="60">
        <f>113907.5*H58</f>
        <v>336027.125</v>
      </c>
      <c r="H58" s="65">
        <v>2.95</v>
      </c>
      <c r="I58" s="66" t="s">
        <v>45</v>
      </c>
      <c r="J58" s="60">
        <f>F58*G58</f>
        <v>160.62096575000001</v>
      </c>
      <c r="K58" s="66" t="s">
        <v>45</v>
      </c>
      <c r="L58" s="68">
        <f>ROUND(J58*974393/1000,1)</f>
        <v>156507.9</v>
      </c>
      <c r="M58" s="67" t="s">
        <v>45</v>
      </c>
    </row>
    <row r="59" spans="1:15" ht="37.5" customHeight="1" x14ac:dyDescent="0.25">
      <c r="A59" s="218" t="s">
        <v>105</v>
      </c>
      <c r="B59" s="218"/>
      <c r="C59" s="218"/>
      <c r="D59" s="62" t="s">
        <v>107</v>
      </c>
      <c r="E59" s="62"/>
      <c r="F59" s="70"/>
      <c r="G59" s="106"/>
      <c r="H59" s="108">
        <v>2.95</v>
      </c>
      <c r="I59" s="106"/>
      <c r="J59" s="113">
        <f>J72</f>
        <v>549.02</v>
      </c>
      <c r="K59" s="106"/>
      <c r="L59" s="114">
        <f>L72</f>
        <v>530308</v>
      </c>
      <c r="M59" s="99">
        <f>L59/(K74+L74)*100</f>
        <v>1.1976026780740658</v>
      </c>
    </row>
    <row r="60" spans="1:15" ht="15" customHeight="1" x14ac:dyDescent="0.25">
      <c r="A60" s="220" t="s">
        <v>98</v>
      </c>
      <c r="B60" s="220"/>
      <c r="C60" s="220"/>
      <c r="D60" s="62" t="s">
        <v>187</v>
      </c>
      <c r="E60" s="62" t="s">
        <v>48</v>
      </c>
      <c r="F60" s="64"/>
      <c r="G60" s="60"/>
      <c r="H60" s="65">
        <v>2.95</v>
      </c>
      <c r="I60" s="66" t="s">
        <v>45</v>
      </c>
      <c r="J60" s="60"/>
      <c r="K60" s="69" t="s">
        <v>45</v>
      </c>
      <c r="L60" s="68"/>
      <c r="M60" s="70" t="s">
        <v>45</v>
      </c>
    </row>
    <row r="61" spans="1:15" ht="37.5" customHeight="1" x14ac:dyDescent="0.25">
      <c r="A61" s="220" t="s">
        <v>100</v>
      </c>
      <c r="B61" s="220"/>
      <c r="C61" s="220"/>
      <c r="D61" s="62" t="s">
        <v>108</v>
      </c>
      <c r="E61" s="117" t="s">
        <v>83</v>
      </c>
      <c r="F61" s="65"/>
      <c r="G61" s="85"/>
      <c r="H61" s="65">
        <v>2.95</v>
      </c>
      <c r="I61" s="66" t="s">
        <v>45</v>
      </c>
      <c r="J61" s="85"/>
      <c r="K61" s="69" t="s">
        <v>45</v>
      </c>
      <c r="L61" s="85"/>
      <c r="M61" s="70" t="s">
        <v>45</v>
      </c>
    </row>
    <row r="62" spans="1:15" ht="76.5" x14ac:dyDescent="0.25">
      <c r="A62" s="220"/>
      <c r="B62" s="220"/>
      <c r="C62" s="220"/>
      <c r="D62" s="62" t="s">
        <v>161</v>
      </c>
      <c r="E62" s="117" t="s">
        <v>173</v>
      </c>
      <c r="F62" s="65"/>
      <c r="G62" s="85"/>
      <c r="H62" s="65">
        <v>2.95</v>
      </c>
      <c r="I62" s="66" t="s">
        <v>45</v>
      </c>
      <c r="J62" s="85"/>
      <c r="K62" s="69" t="s">
        <v>45</v>
      </c>
      <c r="L62" s="85"/>
      <c r="M62" s="70" t="s">
        <v>45</v>
      </c>
    </row>
    <row r="63" spans="1:15" ht="37.5" customHeight="1" x14ac:dyDescent="0.25">
      <c r="A63" s="220"/>
      <c r="B63" s="220"/>
      <c r="C63" s="220"/>
      <c r="D63" s="62" t="s">
        <v>109</v>
      </c>
      <c r="E63" s="117" t="s">
        <v>86</v>
      </c>
      <c r="F63" s="65"/>
      <c r="G63" s="85"/>
      <c r="H63" s="65">
        <v>2.95</v>
      </c>
      <c r="I63" s="66" t="s">
        <v>45</v>
      </c>
      <c r="J63" s="85"/>
      <c r="K63" s="69" t="s">
        <v>45</v>
      </c>
      <c r="L63" s="85"/>
      <c r="M63" s="70" t="s">
        <v>45</v>
      </c>
    </row>
    <row r="64" spans="1:15" ht="15" x14ac:dyDescent="0.25">
      <c r="A64" s="220"/>
      <c r="B64" s="220"/>
      <c r="C64" s="220"/>
      <c r="D64" s="62" t="s">
        <v>188</v>
      </c>
      <c r="E64" s="117" t="s">
        <v>52</v>
      </c>
      <c r="F64" s="65"/>
      <c r="G64" s="85"/>
      <c r="H64" s="65">
        <v>2.95</v>
      </c>
      <c r="I64" s="66" t="s">
        <v>45</v>
      </c>
      <c r="J64" s="85"/>
      <c r="K64" s="69" t="s">
        <v>45</v>
      </c>
      <c r="L64" s="85"/>
      <c r="M64" s="70" t="s">
        <v>45</v>
      </c>
    </row>
    <row r="65" spans="1:14" ht="25.5" customHeight="1" x14ac:dyDescent="0.25">
      <c r="A65" s="220" t="s">
        <v>194</v>
      </c>
      <c r="B65" s="220"/>
      <c r="C65" s="220"/>
      <c r="D65" s="62" t="s">
        <v>110</v>
      </c>
      <c r="E65" s="117" t="s">
        <v>54</v>
      </c>
      <c r="F65" s="131"/>
      <c r="G65" s="60"/>
      <c r="H65" s="65">
        <v>2.95</v>
      </c>
      <c r="I65" s="66" t="s">
        <v>45</v>
      </c>
      <c r="J65" s="60"/>
      <c r="K65" s="69" t="s">
        <v>45</v>
      </c>
      <c r="L65" s="85"/>
      <c r="M65" s="70" t="s">
        <v>45</v>
      </c>
    </row>
    <row r="66" spans="1:14" ht="25.5" customHeight="1" x14ac:dyDescent="0.25">
      <c r="A66" s="217" t="s">
        <v>153</v>
      </c>
      <c r="B66" s="217"/>
      <c r="C66" s="217"/>
      <c r="D66" s="62" t="s">
        <v>162</v>
      </c>
      <c r="E66" s="117" t="s">
        <v>54</v>
      </c>
      <c r="F66" s="105"/>
      <c r="G66" s="85"/>
      <c r="H66" s="65">
        <v>2.95</v>
      </c>
      <c r="I66" s="66" t="s">
        <v>45</v>
      </c>
      <c r="J66" s="85"/>
      <c r="K66" s="69" t="s">
        <v>45</v>
      </c>
      <c r="L66" s="85"/>
      <c r="M66" s="70" t="s">
        <v>45</v>
      </c>
    </row>
    <row r="67" spans="1:14" ht="25.5" customHeight="1" x14ac:dyDescent="0.25">
      <c r="A67" s="217" t="s">
        <v>155</v>
      </c>
      <c r="B67" s="217"/>
      <c r="C67" s="217"/>
      <c r="D67" s="62" t="s">
        <v>163</v>
      </c>
      <c r="E67" s="117" t="s">
        <v>54</v>
      </c>
      <c r="F67" s="105"/>
      <c r="G67" s="85"/>
      <c r="H67" s="65">
        <v>2.95</v>
      </c>
      <c r="I67" s="66" t="s">
        <v>45</v>
      </c>
      <c r="J67" s="85"/>
      <c r="K67" s="69" t="s">
        <v>45</v>
      </c>
      <c r="L67" s="85"/>
      <c r="M67" s="70" t="s">
        <v>45</v>
      </c>
    </row>
    <row r="68" spans="1:14" ht="25.5" customHeight="1" x14ac:dyDescent="0.25">
      <c r="A68" s="219" t="s">
        <v>157</v>
      </c>
      <c r="B68" s="219"/>
      <c r="C68" s="219"/>
      <c r="D68" s="62" t="s">
        <v>196</v>
      </c>
      <c r="E68" s="117" t="s">
        <v>54</v>
      </c>
      <c r="F68" s="105"/>
      <c r="G68" s="85"/>
      <c r="H68" s="65">
        <v>2.95</v>
      </c>
      <c r="I68" s="66" t="s">
        <v>45</v>
      </c>
      <c r="J68" s="85"/>
      <c r="K68" s="69" t="s">
        <v>45</v>
      </c>
      <c r="L68" s="85"/>
      <c r="M68" s="70" t="s">
        <v>45</v>
      </c>
    </row>
    <row r="69" spans="1:14" ht="15" customHeight="1" x14ac:dyDescent="0.25">
      <c r="A69" s="220" t="s">
        <v>103</v>
      </c>
      <c r="B69" s="220"/>
      <c r="C69" s="220"/>
      <c r="D69" s="62" t="s">
        <v>111</v>
      </c>
      <c r="E69" s="63" t="s">
        <v>56</v>
      </c>
      <c r="F69" s="105"/>
      <c r="G69" s="85"/>
      <c r="H69" s="65">
        <v>2.95</v>
      </c>
      <c r="I69" s="66" t="s">
        <v>45</v>
      </c>
      <c r="J69" s="85"/>
      <c r="K69" s="69" t="s">
        <v>45</v>
      </c>
      <c r="L69" s="85"/>
      <c r="M69" s="70" t="s">
        <v>45</v>
      </c>
    </row>
    <row r="70" spans="1:14" ht="15" customHeight="1" x14ac:dyDescent="0.25">
      <c r="A70" s="217" t="s">
        <v>153</v>
      </c>
      <c r="B70" s="217"/>
      <c r="C70" s="217"/>
      <c r="D70" s="62" t="s">
        <v>189</v>
      </c>
      <c r="E70" s="63" t="s">
        <v>56</v>
      </c>
      <c r="F70" s="105"/>
      <c r="G70" s="85"/>
      <c r="H70" s="65">
        <v>2.95</v>
      </c>
      <c r="I70" s="66" t="s">
        <v>45</v>
      </c>
      <c r="J70" s="85"/>
      <c r="K70" s="69" t="s">
        <v>45</v>
      </c>
      <c r="L70" s="85"/>
      <c r="M70" s="70" t="s">
        <v>45</v>
      </c>
    </row>
    <row r="71" spans="1:14" ht="15" customHeight="1" x14ac:dyDescent="0.25">
      <c r="A71" s="217" t="s">
        <v>154</v>
      </c>
      <c r="B71" s="217"/>
      <c r="C71" s="217"/>
      <c r="D71" s="62" t="s">
        <v>190</v>
      </c>
      <c r="E71" s="63" t="s">
        <v>56</v>
      </c>
      <c r="F71" s="65"/>
      <c r="G71" s="85"/>
      <c r="H71" s="65">
        <v>2.95</v>
      </c>
      <c r="I71" s="66" t="s">
        <v>45</v>
      </c>
      <c r="J71" s="85"/>
      <c r="K71" s="69" t="s">
        <v>45</v>
      </c>
      <c r="L71" s="85"/>
      <c r="M71" s="70" t="s">
        <v>45</v>
      </c>
    </row>
    <row r="72" spans="1:14" ht="15" customHeight="1" x14ac:dyDescent="0.25">
      <c r="A72" s="216" t="s">
        <v>93</v>
      </c>
      <c r="B72" s="216"/>
      <c r="C72" s="216"/>
      <c r="D72" s="62" t="s">
        <v>113</v>
      </c>
      <c r="E72" s="63" t="s">
        <v>60</v>
      </c>
      <c r="F72" s="129">
        <v>9.1999999999999998E-2</v>
      </c>
      <c r="G72" s="60">
        <f>2022.9*H72</f>
        <v>5967.5550000000003</v>
      </c>
      <c r="H72" s="65">
        <v>2.95</v>
      </c>
      <c r="I72" s="66" t="s">
        <v>45</v>
      </c>
      <c r="J72" s="60">
        <f>ROUND(F72*G72,2)</f>
        <v>549.02</v>
      </c>
      <c r="K72" s="69" t="s">
        <v>45</v>
      </c>
      <c r="L72" s="68">
        <f>ROUND(J72*965919/1000,1)-0.8</f>
        <v>530308</v>
      </c>
      <c r="M72" s="70" t="s">
        <v>45</v>
      </c>
    </row>
    <row r="73" spans="1:14" ht="15" x14ac:dyDescent="0.25">
      <c r="A73" s="216" t="s">
        <v>192</v>
      </c>
      <c r="B73" s="216"/>
      <c r="C73" s="216"/>
      <c r="D73" s="62" t="s">
        <v>191</v>
      </c>
      <c r="E73" s="63" t="s">
        <v>63</v>
      </c>
      <c r="F73" s="129" t="s">
        <v>45</v>
      </c>
      <c r="G73" s="129" t="s">
        <v>45</v>
      </c>
      <c r="H73" s="65">
        <v>2.95</v>
      </c>
      <c r="I73" s="66" t="s">
        <v>45</v>
      </c>
      <c r="J73" s="60"/>
      <c r="K73" s="69" t="s">
        <v>45</v>
      </c>
      <c r="L73" s="68"/>
      <c r="M73" s="70" t="s">
        <v>45</v>
      </c>
    </row>
    <row r="74" spans="1:14" ht="22.5" customHeight="1" x14ac:dyDescent="0.25">
      <c r="A74" s="215" t="s">
        <v>112</v>
      </c>
      <c r="B74" s="215"/>
      <c r="C74" s="215"/>
      <c r="D74" s="98" t="s">
        <v>193</v>
      </c>
      <c r="E74" s="98"/>
      <c r="F74" s="97" t="s">
        <v>45</v>
      </c>
      <c r="G74" s="97" t="s">
        <v>45</v>
      </c>
      <c r="H74" s="65">
        <v>2.95</v>
      </c>
      <c r="I74" s="99">
        <f>I11+I25</f>
        <v>9760.6565383114612</v>
      </c>
      <c r="J74" s="99">
        <f>J30</f>
        <v>35768.722168570581</v>
      </c>
      <c r="K74" s="99">
        <f>K11+K25</f>
        <v>9428003.6028292682</v>
      </c>
      <c r="L74" s="99">
        <f>прил6!C12</f>
        <v>34852792.500000007</v>
      </c>
      <c r="M74" s="132">
        <f>M30+M25+M11</f>
        <v>99.99904103602546</v>
      </c>
      <c r="N74" s="102">
        <f>K74+L74</f>
        <v>44280796.102829278</v>
      </c>
    </row>
    <row r="75" spans="1:14" ht="14.45" customHeight="1" x14ac:dyDescent="0.25">
      <c r="L75" s="133"/>
      <c r="N75" s="102"/>
    </row>
    <row r="76" spans="1:14" ht="15" x14ac:dyDescent="0.25">
      <c r="A76" s="241" t="s">
        <v>198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</row>
    <row r="77" spans="1:14" ht="15" x14ac:dyDescent="0.25">
      <c r="A77" s="238" t="s">
        <v>201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127"/>
    </row>
    <row r="78" spans="1:14" ht="15" x14ac:dyDescent="0.25">
      <c r="A78" s="238" t="s">
        <v>202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</row>
    <row r="79" spans="1:14" ht="27" customHeight="1" x14ac:dyDescent="0.25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</row>
    <row r="80" spans="1:14" ht="28.9" customHeight="1" x14ac:dyDescent="0.25">
      <c r="A80" s="232" t="s">
        <v>114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</row>
    <row r="81" spans="1:15" ht="37.5" customHeight="1" x14ac:dyDescent="0.25">
      <c r="C81" s="137" t="s">
        <v>115</v>
      </c>
      <c r="D81" s="242" t="s">
        <v>116</v>
      </c>
      <c r="E81" s="234"/>
      <c r="F81" s="235"/>
      <c r="G81" s="137" t="s">
        <v>117</v>
      </c>
      <c r="H81" s="138"/>
      <c r="I81" s="239" t="s">
        <v>118</v>
      </c>
      <c r="J81" s="240"/>
      <c r="M81" s="139"/>
    </row>
    <row r="82" spans="1:15" ht="37.5" customHeight="1" x14ac:dyDescent="0.25">
      <c r="C82" s="140" t="s">
        <v>119</v>
      </c>
      <c r="D82" s="233">
        <f>K12+L47</f>
        <v>2931181.9079999998</v>
      </c>
      <c r="E82" s="234"/>
      <c r="F82" s="235"/>
      <c r="G82" s="141">
        <f>D82/D92*100</f>
        <v>6.6198255278464764</v>
      </c>
      <c r="H82" s="141"/>
      <c r="I82" s="142">
        <f>D82</f>
        <v>2931181.9079999998</v>
      </c>
      <c r="J82" s="137"/>
      <c r="M82" s="133"/>
    </row>
    <row r="83" spans="1:15" ht="37.5" customHeight="1" x14ac:dyDescent="0.25">
      <c r="C83" s="140" t="s">
        <v>120</v>
      </c>
      <c r="D83" s="233">
        <f>K14+L32</f>
        <v>4976211.5867963545</v>
      </c>
      <c r="E83" s="234"/>
      <c r="F83" s="235"/>
      <c r="G83" s="141">
        <f>D83/D92*100</f>
        <v>11.238351466462426</v>
      </c>
      <c r="H83" s="141"/>
      <c r="I83" s="142">
        <f>D83</f>
        <v>4976211.5867963545</v>
      </c>
      <c r="J83" s="137"/>
      <c r="L83" s="133"/>
    </row>
    <row r="84" spans="1:15" ht="37.5" customHeight="1" x14ac:dyDescent="0.25">
      <c r="C84" s="140" t="s">
        <v>121</v>
      </c>
      <c r="D84" s="233">
        <f>K15+L51</f>
        <v>7292239.6401421102</v>
      </c>
      <c r="E84" s="234"/>
      <c r="F84" s="235"/>
      <c r="G84" s="141">
        <f>D84/D92*100</f>
        <v>16.468904230486519</v>
      </c>
      <c r="H84" s="141"/>
      <c r="I84" s="142">
        <f>D84</f>
        <v>7292239.6401421102</v>
      </c>
      <c r="J84" s="137"/>
    </row>
    <row r="85" spans="1:15" ht="37.5" customHeight="1" x14ac:dyDescent="0.25">
      <c r="C85" s="140" t="s">
        <v>122</v>
      </c>
      <c r="D85" s="233">
        <f>L50</f>
        <v>968071.9</v>
      </c>
      <c r="E85" s="234"/>
      <c r="F85" s="235"/>
      <c r="G85" s="141">
        <f>D85/D92*100</f>
        <v>2.1863082120288668</v>
      </c>
      <c r="H85" s="141"/>
      <c r="I85" s="142">
        <f>D85</f>
        <v>968071.9</v>
      </c>
      <c r="J85" s="137"/>
      <c r="L85" s="133"/>
    </row>
    <row r="86" spans="1:15" ht="37.5" customHeight="1" x14ac:dyDescent="0.25">
      <c r="C86" s="140" t="s">
        <v>123</v>
      </c>
      <c r="D86" s="233">
        <f>K20+L56</f>
        <v>4047592.8647803939</v>
      </c>
      <c r="E86" s="234"/>
      <c r="F86" s="235"/>
      <c r="G86" s="141">
        <f>D86/D92*100</f>
        <v>9.141144907954482</v>
      </c>
      <c r="H86" s="141"/>
      <c r="I86" s="137"/>
      <c r="J86" s="137"/>
    </row>
    <row r="87" spans="1:15" ht="37.5" customHeight="1" x14ac:dyDescent="0.25">
      <c r="C87" s="140" t="s">
        <v>124</v>
      </c>
      <c r="D87" s="233">
        <f>K18+L36+K24</f>
        <v>20455988.084720179</v>
      </c>
      <c r="E87" s="234"/>
      <c r="F87" s="235"/>
      <c r="G87" s="141">
        <f>D87/D92*100</f>
        <v>46.198112696782516</v>
      </c>
      <c r="H87" s="141"/>
      <c r="I87" s="137"/>
      <c r="J87" s="137"/>
    </row>
    <row r="88" spans="1:15" ht="37.5" customHeight="1" x14ac:dyDescent="0.25">
      <c r="C88" s="143" t="s">
        <v>125</v>
      </c>
      <c r="D88" s="233">
        <f>K24+L39</f>
        <v>1141965.6159999999</v>
      </c>
      <c r="E88" s="236"/>
      <c r="F88" s="237"/>
      <c r="G88" s="141">
        <f>D88/D92*100</f>
        <v>2.5790324087657157</v>
      </c>
      <c r="H88" s="141"/>
      <c r="I88" s="137"/>
      <c r="J88" s="137"/>
    </row>
    <row r="89" spans="1:15" s="89" customFormat="1" ht="37.5" customHeight="1" x14ac:dyDescent="0.25">
      <c r="A89" s="61"/>
      <c r="B89" s="61"/>
      <c r="C89" s="143" t="s">
        <v>126</v>
      </c>
      <c r="D89" s="233">
        <f>L38</f>
        <v>398476</v>
      </c>
      <c r="E89" s="234"/>
      <c r="F89" s="235"/>
      <c r="G89" s="141">
        <f>D89/D92*100</f>
        <v>0.89992422163727159</v>
      </c>
      <c r="H89" s="141"/>
      <c r="I89" s="137"/>
      <c r="J89" s="137"/>
      <c r="N89" s="61"/>
      <c r="O89" s="61"/>
    </row>
    <row r="90" spans="1:15" s="89" customFormat="1" ht="37.5" customHeight="1" x14ac:dyDescent="0.25">
      <c r="A90" s="61"/>
      <c r="B90" s="61"/>
      <c r="C90" s="140" t="s">
        <v>127</v>
      </c>
      <c r="D90" s="233">
        <f>L72</f>
        <v>530308</v>
      </c>
      <c r="E90" s="234"/>
      <c r="F90" s="235"/>
      <c r="G90" s="141">
        <f>D90/D92*100</f>
        <v>1.197655603168116</v>
      </c>
      <c r="H90" s="141"/>
      <c r="I90" s="137"/>
      <c r="J90" s="137"/>
      <c r="N90" s="61"/>
      <c r="O90" s="61"/>
    </row>
    <row r="91" spans="1:15" s="89" customFormat="1" ht="37.5" customHeight="1" x14ac:dyDescent="0.25">
      <c r="A91" s="61"/>
      <c r="B91" s="61"/>
      <c r="C91" s="140" t="s">
        <v>128</v>
      </c>
      <c r="D91" s="233">
        <f>K23+L44+K25</f>
        <v>3077245.3243902274</v>
      </c>
      <c r="E91" s="234"/>
      <c r="F91" s="235"/>
      <c r="G91" s="141">
        <f>D91/D92*100</f>
        <v>6.9496973552706027</v>
      </c>
      <c r="H91" s="141"/>
      <c r="I91" s="137"/>
      <c r="J91" s="137"/>
      <c r="N91" s="61"/>
      <c r="O91" s="61"/>
    </row>
    <row r="92" spans="1:15" s="89" customFormat="1" ht="37.5" customHeight="1" x14ac:dyDescent="0.25">
      <c r="A92" s="61"/>
      <c r="B92" s="61"/>
      <c r="C92" s="140" t="s">
        <v>129</v>
      </c>
      <c r="D92" s="233">
        <f>D82+D83+D84+D85+D86+D87+D90+D91</f>
        <v>44278839.308829263</v>
      </c>
      <c r="E92" s="234"/>
      <c r="F92" s="235"/>
      <c r="G92" s="142">
        <f>G82+G83+G84+G85+G86+G87+G90+G91</f>
        <v>100</v>
      </c>
      <c r="H92" s="142"/>
      <c r="I92" s="142">
        <f>I82+I83+I84+I85</f>
        <v>16167705.034938464</v>
      </c>
      <c r="J92" s="137">
        <f>I92/D92*100</f>
        <v>36.513389436824284</v>
      </c>
      <c r="N92" s="61"/>
      <c r="O92" s="61"/>
    </row>
    <row r="94" spans="1:15" s="89" customFormat="1" ht="37.5" customHeight="1" x14ac:dyDescent="0.25">
      <c r="A94" s="61"/>
      <c r="B94" s="61"/>
      <c r="C94" s="61"/>
      <c r="D94" s="61"/>
      <c r="E94" s="61"/>
      <c r="F94" s="133"/>
      <c r="K94" s="133"/>
      <c r="N94" s="61"/>
      <c r="O94" s="61"/>
    </row>
    <row r="95" spans="1:15" s="89" customFormat="1" ht="37.5" customHeight="1" x14ac:dyDescent="0.25">
      <c r="A95" s="61"/>
      <c r="B95" s="61"/>
      <c r="C95" s="61"/>
      <c r="D95" s="61"/>
      <c r="E95" s="61"/>
      <c r="F95" s="133"/>
      <c r="K95" s="133"/>
      <c r="L95" s="133"/>
      <c r="N95" s="61"/>
      <c r="O95" s="61"/>
    </row>
  </sheetData>
  <mergeCells count="88">
    <mergeCell ref="D92:F92"/>
    <mergeCell ref="D90:F90"/>
    <mergeCell ref="D91:F91"/>
    <mergeCell ref="I81:J81"/>
    <mergeCell ref="A72:C72"/>
    <mergeCell ref="A76:M76"/>
    <mergeCell ref="A77:M77"/>
    <mergeCell ref="D89:F89"/>
    <mergeCell ref="D81:F81"/>
    <mergeCell ref="D82:F82"/>
    <mergeCell ref="D83:F83"/>
    <mergeCell ref="D85:F85"/>
    <mergeCell ref="D86:F86"/>
    <mergeCell ref="D87:F87"/>
    <mergeCell ref="A74:C74"/>
    <mergeCell ref="A79:M79"/>
    <mergeCell ref="A54:C54"/>
    <mergeCell ref="A80:M80"/>
    <mergeCell ref="D84:F84"/>
    <mergeCell ref="D88:F88"/>
    <mergeCell ref="A78:M78"/>
    <mergeCell ref="A59:C59"/>
    <mergeCell ref="A65:C65"/>
    <mergeCell ref="A67:C67"/>
    <mergeCell ref="A66:C66"/>
    <mergeCell ref="A71:C71"/>
    <mergeCell ref="A60:C60"/>
    <mergeCell ref="A61:C64"/>
    <mergeCell ref="A68:C68"/>
    <mergeCell ref="A69:C69"/>
    <mergeCell ref="A70:C70"/>
    <mergeCell ref="A28:C28"/>
    <mergeCell ref="A27:C27"/>
    <mergeCell ref="A39:C39"/>
    <mergeCell ref="A29:C29"/>
    <mergeCell ref="A38:C38"/>
    <mergeCell ref="A37:C37"/>
    <mergeCell ref="A30:C30"/>
    <mergeCell ref="A31:C31"/>
    <mergeCell ref="A32:A35"/>
    <mergeCell ref="B32:B35"/>
    <mergeCell ref="A36:C36"/>
    <mergeCell ref="A18:C18"/>
    <mergeCell ref="A19:C19"/>
    <mergeCell ref="A20:C20"/>
    <mergeCell ref="A21:C21"/>
    <mergeCell ref="A23:C23"/>
    <mergeCell ref="A22:C22"/>
    <mergeCell ref="A24:C24"/>
    <mergeCell ref="A25:C25"/>
    <mergeCell ref="A26:C26"/>
    <mergeCell ref="M8:M9"/>
    <mergeCell ref="G7:G9"/>
    <mergeCell ref="A16:C17"/>
    <mergeCell ref="H7:H9"/>
    <mergeCell ref="A10:C10"/>
    <mergeCell ref="A11:C11"/>
    <mergeCell ref="F7:F9"/>
    <mergeCell ref="A12:C12"/>
    <mergeCell ref="D7:D9"/>
    <mergeCell ref="E7:E9"/>
    <mergeCell ref="I8:J8"/>
    <mergeCell ref="K8:L8"/>
    <mergeCell ref="A13:C13"/>
    <mergeCell ref="A14:C15"/>
    <mergeCell ref="A7:C9"/>
    <mergeCell ref="I1:M1"/>
    <mergeCell ref="A3:M3"/>
    <mergeCell ref="A4:M4"/>
    <mergeCell ref="A5:M5"/>
    <mergeCell ref="I7:J7"/>
    <mergeCell ref="K7:M7"/>
    <mergeCell ref="A40:C40"/>
    <mergeCell ref="A45:C45"/>
    <mergeCell ref="A73:C73"/>
    <mergeCell ref="A57:C57"/>
    <mergeCell ref="A58:C58"/>
    <mergeCell ref="A53:C53"/>
    <mergeCell ref="A46:C46"/>
    <mergeCell ref="A55:C55"/>
    <mergeCell ref="A56:C56"/>
    <mergeCell ref="A47:C47"/>
    <mergeCell ref="A43:C43"/>
    <mergeCell ref="A41:C41"/>
    <mergeCell ref="A42:C42"/>
    <mergeCell ref="A44:C44"/>
    <mergeCell ref="A48:C51"/>
    <mergeCell ref="A52:C52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r:id="rId1"/>
  <headerFooter differentFirst="1"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O98"/>
  <sheetViews>
    <sheetView view="pageBreakPreview" topLeftCell="A52" zoomScale="69" zoomScaleNormal="80" zoomScaleSheetLayoutView="69" workbookViewId="0">
      <selection activeCell="C2" sqref="C2"/>
    </sheetView>
  </sheetViews>
  <sheetFormatPr defaultColWidth="9.140625" defaultRowHeight="15" x14ac:dyDescent="0.25"/>
  <cols>
    <col min="1" max="1" width="9.140625" style="61" customWidth="1"/>
    <col min="2" max="2" width="9.140625" style="61"/>
    <col min="3" max="3" width="51" style="61" customWidth="1"/>
    <col min="4" max="4" width="9" style="61" customWidth="1"/>
    <col min="5" max="5" width="17.7109375" style="61" customWidth="1"/>
    <col min="6" max="6" width="25.140625" style="89" customWidth="1"/>
    <col min="7" max="7" width="18.7109375" style="89" customWidth="1"/>
    <col min="8" max="8" width="10.140625" style="89" customWidth="1"/>
    <col min="9" max="9" width="16.5703125" style="89" customWidth="1"/>
    <col min="10" max="10" width="13.42578125" style="89" customWidth="1"/>
    <col min="11" max="11" width="16.7109375" style="89" customWidth="1"/>
    <col min="12" max="12" width="18.28515625" style="89" customWidth="1"/>
    <col min="13" max="13" width="16.140625" style="89" customWidth="1"/>
    <col min="14" max="14" width="17.140625" style="61" customWidth="1"/>
    <col min="15" max="15" width="15.5703125" style="61" customWidth="1"/>
    <col min="16" max="16384" width="9.140625" style="61"/>
  </cols>
  <sheetData>
    <row r="1" spans="1:15" s="86" customFormat="1" ht="90" customHeight="1" x14ac:dyDescent="0.25">
      <c r="F1" s="87"/>
      <c r="G1" s="87"/>
      <c r="H1" s="87"/>
      <c r="I1" s="222" t="s">
        <v>151</v>
      </c>
      <c r="J1" s="222"/>
      <c r="K1" s="222"/>
      <c r="L1" s="222"/>
      <c r="M1" s="222"/>
      <c r="N1" s="88"/>
    </row>
    <row r="3" spans="1:15" ht="14.25" customHeight="1" x14ac:dyDescent="0.3">
      <c r="M3" s="90"/>
    </row>
    <row r="4" spans="1:15" ht="22.5" x14ac:dyDescent="0.3">
      <c r="A4" s="223" t="s">
        <v>29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5" ht="22.5" x14ac:dyDescent="0.3">
      <c r="A5" s="223" t="s">
        <v>30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5" ht="22.5" x14ac:dyDescent="0.3">
      <c r="A6" s="223" t="s">
        <v>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spans="1:15" ht="15.6" x14ac:dyDescent="0.3">
      <c r="A7" s="91"/>
      <c r="B7" s="91"/>
      <c r="C7" s="91"/>
      <c r="D7" s="91"/>
      <c r="E7" s="91"/>
      <c r="F7" s="92"/>
      <c r="G7" s="92"/>
      <c r="H7" s="92"/>
      <c r="I7" s="92"/>
      <c r="J7" s="92"/>
      <c r="K7" s="92"/>
      <c r="L7" s="92"/>
      <c r="M7" s="92"/>
    </row>
    <row r="8" spans="1:15" ht="15.6" x14ac:dyDescent="0.3">
      <c r="A8" s="93"/>
      <c r="B8" s="93"/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</row>
    <row r="9" spans="1:15" ht="40.5" customHeight="1" x14ac:dyDescent="0.25">
      <c r="A9" s="310"/>
      <c r="B9" s="311"/>
      <c r="C9" s="312"/>
      <c r="D9" s="319" t="s">
        <v>31</v>
      </c>
      <c r="E9" s="319" t="s">
        <v>32</v>
      </c>
      <c r="F9" s="310" t="s">
        <v>33</v>
      </c>
      <c r="G9" s="310" t="s">
        <v>34</v>
      </c>
      <c r="H9" s="322" t="s">
        <v>35</v>
      </c>
      <c r="I9" s="325" t="s">
        <v>36</v>
      </c>
      <c r="J9" s="326"/>
      <c r="K9" s="224" t="s">
        <v>37</v>
      </c>
      <c r="L9" s="224"/>
      <c r="M9" s="224"/>
    </row>
    <row r="10" spans="1:15" ht="14.45" customHeight="1" x14ac:dyDescent="0.25">
      <c r="A10" s="313"/>
      <c r="B10" s="314"/>
      <c r="C10" s="315"/>
      <c r="D10" s="320"/>
      <c r="E10" s="320"/>
      <c r="F10" s="313"/>
      <c r="G10" s="313"/>
      <c r="H10" s="323"/>
      <c r="I10" s="325" t="s">
        <v>38</v>
      </c>
      <c r="J10" s="326"/>
      <c r="K10" s="224" t="s">
        <v>39</v>
      </c>
      <c r="L10" s="224"/>
      <c r="M10" s="299" t="s">
        <v>40</v>
      </c>
    </row>
    <row r="11" spans="1:15" ht="75" customHeight="1" x14ac:dyDescent="0.25">
      <c r="A11" s="316"/>
      <c r="B11" s="317"/>
      <c r="C11" s="318"/>
      <c r="D11" s="321"/>
      <c r="E11" s="321"/>
      <c r="F11" s="316"/>
      <c r="G11" s="316"/>
      <c r="H11" s="324"/>
      <c r="I11" s="144" t="s">
        <v>41</v>
      </c>
      <c r="J11" s="144" t="s">
        <v>42</v>
      </c>
      <c r="K11" s="95" t="s">
        <v>41</v>
      </c>
      <c r="L11" s="95" t="s">
        <v>43</v>
      </c>
      <c r="M11" s="300"/>
    </row>
    <row r="12" spans="1:15" ht="14.45" x14ac:dyDescent="0.3">
      <c r="A12" s="227"/>
      <c r="B12" s="227"/>
      <c r="C12" s="227"/>
      <c r="D12" s="96">
        <v>1</v>
      </c>
      <c r="E12" s="145">
        <v>2</v>
      </c>
      <c r="F12" s="146">
        <v>3</v>
      </c>
      <c r="G12" s="146">
        <v>4</v>
      </c>
      <c r="H12" s="146"/>
      <c r="I12" s="97">
        <v>5</v>
      </c>
      <c r="J12" s="97">
        <v>6</v>
      </c>
      <c r="K12" s="97">
        <v>7</v>
      </c>
      <c r="L12" s="97">
        <v>8</v>
      </c>
      <c r="M12" s="97">
        <v>9</v>
      </c>
    </row>
    <row r="13" spans="1:15" ht="45" customHeight="1" x14ac:dyDescent="0.25">
      <c r="A13" s="301" t="s">
        <v>44</v>
      </c>
      <c r="B13" s="302"/>
      <c r="C13" s="303"/>
      <c r="D13" s="98" t="s">
        <v>10</v>
      </c>
      <c r="E13" s="98"/>
      <c r="F13" s="70" t="s">
        <v>45</v>
      </c>
      <c r="G13" s="70" t="s">
        <v>45</v>
      </c>
      <c r="H13" s="65">
        <v>3.3929999999999998</v>
      </c>
      <c r="I13" s="85">
        <f>K13/N13*1000</f>
        <v>9528.0112628100414</v>
      </c>
      <c r="J13" s="70" t="s">
        <v>45</v>
      </c>
      <c r="K13" s="99">
        <f>K14+K16+K17+K20+K22+K24+K25+K26+K18</f>
        <v>9215835.5017953329</v>
      </c>
      <c r="L13" s="70" t="s">
        <v>45</v>
      </c>
      <c r="M13" s="99">
        <f>ROUND(K13/(K76+L76)*100,2)</f>
        <v>19.71</v>
      </c>
      <c r="N13" s="61">
        <v>967236</v>
      </c>
      <c r="O13" s="61" t="s">
        <v>46</v>
      </c>
    </row>
    <row r="14" spans="1:15" ht="33" customHeight="1" x14ac:dyDescent="0.25">
      <c r="A14" s="304" t="s">
        <v>47</v>
      </c>
      <c r="B14" s="305"/>
      <c r="C14" s="306"/>
      <c r="D14" s="62" t="s">
        <v>12</v>
      </c>
      <c r="E14" s="62" t="s">
        <v>48</v>
      </c>
      <c r="F14" s="100">
        <f>1300/N13+F15</f>
        <v>3.9287206017972866E-3</v>
      </c>
      <c r="G14" s="85">
        <f>I14/F14</f>
        <v>201668.09210526312</v>
      </c>
      <c r="H14" s="65">
        <v>3.3929999999999998</v>
      </c>
      <c r="I14" s="85">
        <f>K14/N13*1000</f>
        <v>792.29758817909999</v>
      </c>
      <c r="J14" s="70" t="s">
        <v>45</v>
      </c>
      <c r="K14" s="85">
        <v>766338.75</v>
      </c>
      <c r="L14" s="70" t="s">
        <v>45</v>
      </c>
      <c r="M14" s="70" t="s">
        <v>45</v>
      </c>
      <c r="N14" s="101"/>
      <c r="O14" s="102"/>
    </row>
    <row r="15" spans="1:15" ht="15" customHeight="1" x14ac:dyDescent="0.25">
      <c r="A15" s="307" t="s">
        <v>49</v>
      </c>
      <c r="B15" s="308"/>
      <c r="C15" s="309"/>
      <c r="D15" s="62" t="s">
        <v>14</v>
      </c>
      <c r="E15" s="103" t="s">
        <v>48</v>
      </c>
      <c r="F15" s="100">
        <f>2500/N13</f>
        <v>2.5846846064455833E-3</v>
      </c>
      <c r="G15" s="85">
        <f>G49</f>
        <v>7104.4850000000006</v>
      </c>
      <c r="H15" s="65">
        <v>3.3929999999999998</v>
      </c>
      <c r="I15" s="85">
        <f>G15*F15</f>
        <v>18.36285301622355</v>
      </c>
      <c r="J15" s="70" t="s">
        <v>45</v>
      </c>
      <c r="K15" s="85">
        <f>I15*N13/1000</f>
        <v>17761.212500000001</v>
      </c>
      <c r="L15" s="70" t="s">
        <v>45</v>
      </c>
      <c r="M15" s="70" t="s">
        <v>45</v>
      </c>
    </row>
    <row r="16" spans="1:15" ht="54.75" customHeight="1" x14ac:dyDescent="0.25">
      <c r="A16" s="282" t="s">
        <v>50</v>
      </c>
      <c r="B16" s="263"/>
      <c r="C16" s="264"/>
      <c r="D16" s="62" t="s">
        <v>15</v>
      </c>
      <c r="E16" s="63" t="s">
        <v>51</v>
      </c>
      <c r="F16" s="65">
        <v>0.73</v>
      </c>
      <c r="G16" s="85">
        <f>457.25*H16</f>
        <v>1551.4492499999999</v>
      </c>
      <c r="H16" s="65">
        <v>3.3929999999999998</v>
      </c>
      <c r="I16" s="85">
        <f>G16*F16</f>
        <v>1132.5579524999998</v>
      </c>
      <c r="J16" s="70" t="s">
        <v>45</v>
      </c>
      <c r="K16" s="85">
        <f>I16*N13/1000</f>
        <v>1095450.8237442898</v>
      </c>
      <c r="L16" s="70" t="s">
        <v>45</v>
      </c>
      <c r="M16" s="70" t="s">
        <v>45</v>
      </c>
    </row>
    <row r="17" spans="1:15" x14ac:dyDescent="0.25">
      <c r="A17" s="283"/>
      <c r="B17" s="269"/>
      <c r="C17" s="270"/>
      <c r="D17" s="62" t="s">
        <v>17</v>
      </c>
      <c r="E17" s="63" t="s">
        <v>52</v>
      </c>
      <c r="F17" s="65">
        <v>0.14399999999999999</v>
      </c>
      <c r="G17" s="85">
        <f>1325.8*H17</f>
        <v>4498.4393999999993</v>
      </c>
      <c r="H17" s="65">
        <v>3.3929999999999998</v>
      </c>
      <c r="I17" s="85">
        <f>G17*F17</f>
        <v>647.77527359999988</v>
      </c>
      <c r="J17" s="70" t="s">
        <v>45</v>
      </c>
      <c r="K17" s="85">
        <f>I17*N13/1000</f>
        <v>626551.56453576952</v>
      </c>
      <c r="L17" s="70" t="s">
        <v>45</v>
      </c>
      <c r="M17" s="70" t="s">
        <v>45</v>
      </c>
    </row>
    <row r="18" spans="1:15" ht="59.25" customHeight="1" x14ac:dyDescent="0.25">
      <c r="A18" s="284" t="s">
        <v>49</v>
      </c>
      <c r="B18" s="285"/>
      <c r="C18" s="286"/>
      <c r="D18" s="62" t="s">
        <v>18</v>
      </c>
      <c r="E18" s="103" t="s">
        <v>51</v>
      </c>
      <c r="F18" s="100">
        <f>1400/N13</f>
        <v>1.4474233796095265E-3</v>
      </c>
      <c r="G18" s="85">
        <f>G50</f>
        <v>1474.115</v>
      </c>
      <c r="H18" s="65">
        <v>3.3929999999999998</v>
      </c>
      <c r="I18" s="85">
        <f>F18*G18</f>
        <v>2.1336685152330972</v>
      </c>
      <c r="J18" s="70" t="s">
        <v>45</v>
      </c>
      <c r="K18" s="85">
        <f>I18*N13/1000</f>
        <v>2063.761</v>
      </c>
      <c r="L18" s="70" t="s">
        <v>45</v>
      </c>
      <c r="M18" s="70" t="s">
        <v>45</v>
      </c>
    </row>
    <row r="19" spans="1:15" ht="25.5" customHeight="1" x14ac:dyDescent="0.25">
      <c r="A19" s="287"/>
      <c r="B19" s="288"/>
      <c r="C19" s="289"/>
      <c r="D19" s="62" t="s">
        <v>19</v>
      </c>
      <c r="E19" s="103" t="s">
        <v>52</v>
      </c>
      <c r="F19" s="65"/>
      <c r="G19" s="85"/>
      <c r="H19" s="65">
        <v>3.3929999999999998</v>
      </c>
      <c r="I19" s="85"/>
      <c r="J19" s="70" t="s">
        <v>45</v>
      </c>
      <c r="K19" s="85"/>
      <c r="L19" s="70" t="s">
        <v>45</v>
      </c>
      <c r="M19" s="70" t="s">
        <v>45</v>
      </c>
    </row>
    <row r="20" spans="1:15" ht="37.5" customHeight="1" x14ac:dyDescent="0.25">
      <c r="A20" s="261" t="s">
        <v>53</v>
      </c>
      <c r="B20" s="256"/>
      <c r="C20" s="257"/>
      <c r="D20" s="62" t="s">
        <v>20</v>
      </c>
      <c r="E20" s="63" t="s">
        <v>54</v>
      </c>
      <c r="F20" s="100">
        <v>1.46E-2</v>
      </c>
      <c r="G20" s="85">
        <f>78432.1*H20</f>
        <v>266120.1153</v>
      </c>
      <c r="H20" s="65">
        <v>3.3929999999999998</v>
      </c>
      <c r="I20" s="85">
        <f>G20*F20</f>
        <v>3885.3536833799999</v>
      </c>
      <c r="J20" s="70" t="s">
        <v>45</v>
      </c>
      <c r="K20" s="85">
        <f>I20*N13/1000</f>
        <v>3758053.9552977374</v>
      </c>
      <c r="L20" s="70" t="s">
        <v>45</v>
      </c>
      <c r="M20" s="70" t="s">
        <v>45</v>
      </c>
    </row>
    <row r="21" spans="1:15" ht="35.25" customHeight="1" x14ac:dyDescent="0.25">
      <c r="A21" s="293" t="s">
        <v>49</v>
      </c>
      <c r="B21" s="294"/>
      <c r="C21" s="295"/>
      <c r="D21" s="62" t="s">
        <v>22</v>
      </c>
      <c r="E21" s="103" t="s">
        <v>54</v>
      </c>
      <c r="F21" s="104">
        <f>180/N13</f>
        <v>1.8609729166408197E-4</v>
      </c>
      <c r="G21" s="85">
        <f>G54</f>
        <v>96289.059063647961</v>
      </c>
      <c r="H21" s="65">
        <v>3.3929999999999998</v>
      </c>
      <c r="I21" s="85">
        <f>G21*F21</f>
        <v>17.919133108627712</v>
      </c>
      <c r="J21" s="70" t="s">
        <v>45</v>
      </c>
      <c r="K21" s="85">
        <f>I21*N13/1000</f>
        <v>17332.030631456633</v>
      </c>
      <c r="L21" s="70" t="s">
        <v>45</v>
      </c>
      <c r="M21" s="70" t="s">
        <v>45</v>
      </c>
    </row>
    <row r="22" spans="1:15" ht="15" customHeight="1" x14ac:dyDescent="0.25">
      <c r="A22" s="261" t="s">
        <v>55</v>
      </c>
      <c r="B22" s="256"/>
      <c r="C22" s="257"/>
      <c r="D22" s="62" t="s">
        <v>23</v>
      </c>
      <c r="E22" s="63" t="s">
        <v>56</v>
      </c>
      <c r="F22" s="65">
        <v>4.0000000000000001E-3</v>
      </c>
      <c r="G22" s="85">
        <f>13541.2*H22</f>
        <v>45945.291599999997</v>
      </c>
      <c r="H22" s="65">
        <v>3.3929999999999998</v>
      </c>
      <c r="I22" s="85">
        <f>G22*F22</f>
        <v>183.78116639999999</v>
      </c>
      <c r="J22" s="70" t="s">
        <v>45</v>
      </c>
      <c r="K22" s="85">
        <f>I22*N13/1000</f>
        <v>177759.76026407038</v>
      </c>
      <c r="L22" s="70" t="s">
        <v>45</v>
      </c>
      <c r="M22" s="70" t="s">
        <v>45</v>
      </c>
    </row>
    <row r="23" spans="1:15" ht="30.6" customHeight="1" x14ac:dyDescent="0.25">
      <c r="A23" s="293" t="s">
        <v>49</v>
      </c>
      <c r="B23" s="294"/>
      <c r="C23" s="295"/>
      <c r="D23" s="62" t="s">
        <v>57</v>
      </c>
      <c r="E23" s="103" t="s">
        <v>56</v>
      </c>
      <c r="F23" s="65"/>
      <c r="G23" s="85"/>
      <c r="H23" s="65">
        <v>3.3929999999999998</v>
      </c>
      <c r="I23" s="85"/>
      <c r="J23" s="70" t="s">
        <v>45</v>
      </c>
      <c r="K23" s="85"/>
      <c r="L23" s="70" t="s">
        <v>45</v>
      </c>
      <c r="M23" s="70" t="s">
        <v>45</v>
      </c>
    </row>
    <row r="24" spans="1:15" ht="14.45" customHeight="1" x14ac:dyDescent="0.25">
      <c r="A24" s="261" t="s">
        <v>58</v>
      </c>
      <c r="B24" s="256"/>
      <c r="C24" s="257"/>
      <c r="D24" s="62" t="s">
        <v>59</v>
      </c>
      <c r="E24" s="63" t="s">
        <v>60</v>
      </c>
      <c r="F24" s="105"/>
      <c r="G24" s="85"/>
      <c r="H24" s="65">
        <v>3.3929999999999998</v>
      </c>
      <c r="I24" s="85"/>
      <c r="J24" s="70" t="s">
        <v>45</v>
      </c>
      <c r="K24" s="85"/>
      <c r="L24" s="70" t="s">
        <v>45</v>
      </c>
      <c r="M24" s="70" t="s">
        <v>45</v>
      </c>
    </row>
    <row r="25" spans="1:15" ht="14.45" customHeight="1" x14ac:dyDescent="0.25">
      <c r="A25" s="261" t="s">
        <v>61</v>
      </c>
      <c r="B25" s="256"/>
      <c r="C25" s="257"/>
      <c r="D25" s="62" t="s">
        <v>62</v>
      </c>
      <c r="E25" s="62" t="s">
        <v>63</v>
      </c>
      <c r="F25" s="67"/>
      <c r="G25" s="60"/>
      <c r="H25" s="65">
        <v>3.3929999999999998</v>
      </c>
      <c r="I25" s="85">
        <f>K25/N13*1000</f>
        <v>2545.0986842440379</v>
      </c>
      <c r="J25" s="70" t="s">
        <v>45</v>
      </c>
      <c r="K25" s="85">
        <f>'не нужно'!I66</f>
        <v>2461711.070953466</v>
      </c>
      <c r="L25" s="70" t="s">
        <v>45</v>
      </c>
      <c r="M25" s="70" t="s">
        <v>45</v>
      </c>
      <c r="N25" s="102"/>
      <c r="O25" s="102"/>
    </row>
    <row r="26" spans="1:15" ht="38.25" customHeight="1" x14ac:dyDescent="0.25">
      <c r="A26" s="261" t="s">
        <v>64</v>
      </c>
      <c r="B26" s="256"/>
      <c r="C26" s="257"/>
      <c r="D26" s="62" t="s">
        <v>65</v>
      </c>
      <c r="E26" s="63" t="s">
        <v>54</v>
      </c>
      <c r="F26" s="100">
        <f>1366/N13</f>
        <v>1.4122716689618667E-3</v>
      </c>
      <c r="G26" s="85">
        <f>I26/F26</f>
        <v>240048.18155197657</v>
      </c>
      <c r="H26" s="65">
        <v>3.3929999999999998</v>
      </c>
      <c r="I26" s="85">
        <f>K26/N13*1000</f>
        <v>339.01324599167111</v>
      </c>
      <c r="J26" s="70" t="s">
        <v>45</v>
      </c>
      <c r="K26" s="85">
        <f>прил7!K24</f>
        <v>327905.81599999999</v>
      </c>
      <c r="L26" s="70" t="s">
        <v>45</v>
      </c>
      <c r="M26" s="70" t="s">
        <v>45</v>
      </c>
    </row>
    <row r="27" spans="1:15" ht="42" customHeight="1" x14ac:dyDescent="0.25">
      <c r="A27" s="296" t="s">
        <v>66</v>
      </c>
      <c r="B27" s="297"/>
      <c r="C27" s="298"/>
      <c r="D27" s="98" t="s">
        <v>67</v>
      </c>
      <c r="E27" s="98"/>
      <c r="F27" s="70"/>
      <c r="G27" s="106"/>
      <c r="H27" s="65">
        <v>3.3929999999999998</v>
      </c>
      <c r="I27" s="85">
        <f>K27/N13*1000</f>
        <v>20.677476851564666</v>
      </c>
      <c r="J27" s="70" t="s">
        <v>45</v>
      </c>
      <c r="K27" s="99">
        <f>K31+K30+K28</f>
        <v>20000</v>
      </c>
      <c r="L27" s="70" t="s">
        <v>45</v>
      </c>
      <c r="M27" s="107">
        <f>K27/(K76+L76)*100</f>
        <v>4.2775999015826995E-2</v>
      </c>
    </row>
    <row r="28" spans="1:15" ht="15" customHeight="1" x14ac:dyDescent="0.25">
      <c r="A28" s="261" t="s">
        <v>68</v>
      </c>
      <c r="B28" s="256"/>
      <c r="C28" s="257"/>
      <c r="D28" s="62" t="s">
        <v>69</v>
      </c>
      <c r="E28" s="62" t="s">
        <v>63</v>
      </c>
      <c r="F28" s="67"/>
      <c r="G28" s="60"/>
      <c r="H28" s="65">
        <v>3.3929999999999998</v>
      </c>
      <c r="I28" s="85">
        <f>K28/N13*1000</f>
        <v>0</v>
      </c>
      <c r="J28" s="70" t="s">
        <v>45</v>
      </c>
      <c r="K28" s="85">
        <v>0</v>
      </c>
      <c r="L28" s="70" t="s">
        <v>45</v>
      </c>
      <c r="M28" s="70" t="s">
        <v>45</v>
      </c>
    </row>
    <row r="29" spans="1:15" ht="15" customHeight="1" x14ac:dyDescent="0.25">
      <c r="A29" s="261" t="s">
        <v>70</v>
      </c>
      <c r="B29" s="256"/>
      <c r="C29" s="257"/>
      <c r="D29" s="62" t="s">
        <v>71</v>
      </c>
      <c r="E29" s="62" t="s">
        <v>63</v>
      </c>
      <c r="F29" s="67"/>
      <c r="G29" s="60"/>
      <c r="H29" s="65">
        <v>3.3929999999999998</v>
      </c>
      <c r="I29" s="85">
        <f>K29/N13*1000</f>
        <v>0</v>
      </c>
      <c r="J29" s="70" t="s">
        <v>45</v>
      </c>
      <c r="K29" s="85"/>
      <c r="L29" s="70" t="s">
        <v>45</v>
      </c>
      <c r="M29" s="70" t="s">
        <v>45</v>
      </c>
    </row>
    <row r="30" spans="1:15" ht="38.25" customHeight="1" x14ac:dyDescent="0.25">
      <c r="A30" s="261" t="s">
        <v>72</v>
      </c>
      <c r="B30" s="256"/>
      <c r="C30" s="257"/>
      <c r="D30" s="62" t="s">
        <v>73</v>
      </c>
      <c r="E30" s="63" t="s">
        <v>63</v>
      </c>
      <c r="F30" s="67"/>
      <c r="G30" s="60"/>
      <c r="H30" s="65">
        <v>3.3929999999999998</v>
      </c>
      <c r="I30" s="85">
        <f>K30/957400*1000</f>
        <v>0</v>
      </c>
      <c r="J30" s="70" t="s">
        <v>45</v>
      </c>
      <c r="K30" s="85">
        <v>0</v>
      </c>
      <c r="L30" s="70" t="s">
        <v>45</v>
      </c>
      <c r="M30" s="70" t="s">
        <v>45</v>
      </c>
    </row>
    <row r="31" spans="1:15" ht="25.5" customHeight="1" thickBot="1" x14ac:dyDescent="0.3">
      <c r="A31" s="282" t="s">
        <v>74</v>
      </c>
      <c r="B31" s="263"/>
      <c r="C31" s="264"/>
      <c r="D31" s="147" t="s">
        <v>75</v>
      </c>
      <c r="E31" s="148" t="s">
        <v>63</v>
      </c>
      <c r="F31" s="149"/>
      <c r="G31" s="150"/>
      <c r="H31" s="65">
        <v>3.3929999999999998</v>
      </c>
      <c r="I31" s="151">
        <f>K31/N13*1000</f>
        <v>20.677476851564666</v>
      </c>
      <c r="J31" s="152" t="s">
        <v>45</v>
      </c>
      <c r="K31" s="151">
        <v>20000</v>
      </c>
      <c r="L31" s="152" t="s">
        <v>45</v>
      </c>
      <c r="M31" s="152" t="s">
        <v>45</v>
      </c>
    </row>
    <row r="32" spans="1:15" ht="25.5" customHeight="1" x14ac:dyDescent="0.25">
      <c r="A32" s="290" t="s">
        <v>76</v>
      </c>
      <c r="B32" s="291"/>
      <c r="C32" s="292"/>
      <c r="D32" s="153" t="s">
        <v>77</v>
      </c>
      <c r="E32" s="153"/>
      <c r="F32" s="154"/>
      <c r="G32" s="155"/>
      <c r="H32" s="156">
        <v>2.95</v>
      </c>
      <c r="I32" s="154" t="s">
        <v>45</v>
      </c>
      <c r="J32" s="157">
        <f t="shared" ref="J32:J45" si="0">L32/974393*1000</f>
        <v>38505.362210114399</v>
      </c>
      <c r="K32" s="154" t="s">
        <v>45</v>
      </c>
      <c r="L32" s="158">
        <f>L46+L48+L61</f>
        <v>37519355.399999999</v>
      </c>
      <c r="M32" s="159">
        <f>ROUND(L32/(K76+L76)*100,2)</f>
        <v>80.25</v>
      </c>
      <c r="N32" s="127"/>
    </row>
    <row r="33" spans="1:14" ht="22.5" customHeight="1" x14ac:dyDescent="0.25">
      <c r="A33" s="275" t="s">
        <v>78</v>
      </c>
      <c r="B33" s="244"/>
      <c r="C33" s="245"/>
      <c r="D33" s="98" t="s">
        <v>79</v>
      </c>
      <c r="E33" s="98" t="s">
        <v>48</v>
      </c>
      <c r="F33" s="112">
        <f>J33/G33</f>
        <v>0.28999999548498706</v>
      </c>
      <c r="G33" s="113">
        <f>G49</f>
        <v>7104.4850000000006</v>
      </c>
      <c r="H33" s="108">
        <v>2.95</v>
      </c>
      <c r="I33" s="70" t="s">
        <v>45</v>
      </c>
      <c r="J33" s="99">
        <f t="shared" si="0"/>
        <v>2060.3006179231584</v>
      </c>
      <c r="K33" s="70" t="s">
        <v>45</v>
      </c>
      <c r="L33" s="114">
        <f t="shared" ref="L33:L38" si="1">L49+L62</f>
        <v>2007542.5</v>
      </c>
      <c r="M33" s="160" t="s">
        <v>45</v>
      </c>
      <c r="N33" s="127"/>
    </row>
    <row r="34" spans="1:14" ht="38.25" x14ac:dyDescent="0.25">
      <c r="A34" s="276" t="s">
        <v>130</v>
      </c>
      <c r="B34" s="279" t="s">
        <v>80</v>
      </c>
      <c r="C34" s="161" t="s">
        <v>81</v>
      </c>
      <c r="D34" s="98" t="s">
        <v>82</v>
      </c>
      <c r="E34" s="116" t="s">
        <v>83</v>
      </c>
      <c r="F34" s="112">
        <f>F50+F63</f>
        <v>2.9</v>
      </c>
      <c r="G34" s="113">
        <f t="shared" ref="G34:G42" si="2">J34/F34</f>
        <v>1474.1150078331702</v>
      </c>
      <c r="H34" s="108">
        <v>2.95</v>
      </c>
      <c r="I34" s="70" t="s">
        <v>45</v>
      </c>
      <c r="J34" s="99">
        <f>L34/974393*1000</f>
        <v>4274.9335227161937</v>
      </c>
      <c r="K34" s="70" t="s">
        <v>45</v>
      </c>
      <c r="L34" s="109">
        <f t="shared" si="1"/>
        <v>4165465.3</v>
      </c>
      <c r="M34" s="160" t="s">
        <v>45</v>
      </c>
    </row>
    <row r="35" spans="1:14" ht="76.5" x14ac:dyDescent="0.25">
      <c r="A35" s="277"/>
      <c r="B35" s="280"/>
      <c r="C35" s="162" t="s">
        <v>159</v>
      </c>
      <c r="D35" s="62" t="s">
        <v>160</v>
      </c>
      <c r="E35" s="117" t="s">
        <v>173</v>
      </c>
      <c r="F35" s="118">
        <f>F51+F64</f>
        <v>0.80800000000000005</v>
      </c>
      <c r="G35" s="85">
        <f t="shared" si="2"/>
        <v>3114.3149713932589</v>
      </c>
      <c r="H35" s="65">
        <v>2.95</v>
      </c>
      <c r="I35" s="67" t="s">
        <v>45</v>
      </c>
      <c r="J35" s="119">
        <f>L35/974393*1000</f>
        <v>2516.3664968857533</v>
      </c>
      <c r="K35" s="67" t="s">
        <v>45</v>
      </c>
      <c r="L35" s="120">
        <f t="shared" si="1"/>
        <v>2451929.9</v>
      </c>
      <c r="M35" s="163" t="s">
        <v>45</v>
      </c>
    </row>
    <row r="36" spans="1:14" ht="51" x14ac:dyDescent="0.25">
      <c r="A36" s="277"/>
      <c r="B36" s="280"/>
      <c r="C36" s="161" t="s">
        <v>84</v>
      </c>
      <c r="D36" s="98" t="s">
        <v>85</v>
      </c>
      <c r="E36" s="116" t="s">
        <v>86</v>
      </c>
      <c r="F36" s="112">
        <f>F52+F65</f>
        <v>0.54</v>
      </c>
      <c r="G36" s="113">
        <f t="shared" si="2"/>
        <v>1817.4950399319828</v>
      </c>
      <c r="H36" s="108">
        <v>2.95</v>
      </c>
      <c r="I36" s="70" t="s">
        <v>45</v>
      </c>
      <c r="J36" s="99">
        <f>L36/974393*1000</f>
        <v>981.44732156327075</v>
      </c>
      <c r="K36" s="70" t="s">
        <v>45</v>
      </c>
      <c r="L36" s="109">
        <f t="shared" si="1"/>
        <v>956315.4</v>
      </c>
      <c r="M36" s="160" t="s">
        <v>45</v>
      </c>
    </row>
    <row r="37" spans="1:14" x14ac:dyDescent="0.25">
      <c r="A37" s="278"/>
      <c r="B37" s="281"/>
      <c r="C37" s="161" t="s">
        <v>87</v>
      </c>
      <c r="D37" s="98" t="s">
        <v>88</v>
      </c>
      <c r="E37" s="116" t="s">
        <v>52</v>
      </c>
      <c r="F37" s="112">
        <f>F53+F66</f>
        <v>1.77</v>
      </c>
      <c r="G37" s="113">
        <f t="shared" si="2"/>
        <v>4019.3749826380395</v>
      </c>
      <c r="H37" s="108">
        <v>2.95</v>
      </c>
      <c r="I37" s="70" t="s">
        <v>45</v>
      </c>
      <c r="J37" s="99">
        <f t="shared" si="0"/>
        <v>7114.2937192693298</v>
      </c>
      <c r="K37" s="70" t="s">
        <v>45</v>
      </c>
      <c r="L37" s="109">
        <f t="shared" si="1"/>
        <v>6932118</v>
      </c>
      <c r="M37" s="160" t="s">
        <v>45</v>
      </c>
    </row>
    <row r="38" spans="1:14" ht="25.5" x14ac:dyDescent="0.25">
      <c r="A38" s="275" t="s">
        <v>195</v>
      </c>
      <c r="B38" s="244"/>
      <c r="C38" s="245"/>
      <c r="D38" s="98" t="s">
        <v>89</v>
      </c>
      <c r="E38" s="121" t="s">
        <v>54</v>
      </c>
      <c r="F38" s="112">
        <f>F54+F67</f>
        <v>0.19500000000000001</v>
      </c>
      <c r="G38" s="113">
        <f t="shared" si="2"/>
        <v>96289.059063647961</v>
      </c>
      <c r="H38" s="108">
        <v>2.95</v>
      </c>
      <c r="I38" s="70" t="s">
        <v>45</v>
      </c>
      <c r="J38" s="99">
        <f t="shared" si="0"/>
        <v>18776.366517411352</v>
      </c>
      <c r="K38" s="70" t="s">
        <v>45</v>
      </c>
      <c r="L38" s="109">
        <f t="shared" si="1"/>
        <v>18295560.099999998</v>
      </c>
      <c r="M38" s="160" t="s">
        <v>45</v>
      </c>
    </row>
    <row r="39" spans="1:14" ht="38.25" customHeight="1" x14ac:dyDescent="0.25">
      <c r="A39" s="252" t="s">
        <v>164</v>
      </c>
      <c r="B39" s="253"/>
      <c r="C39" s="254"/>
      <c r="D39" s="164" t="s">
        <v>90</v>
      </c>
      <c r="E39" s="164" t="str">
        <f t="shared" ref="E39:M39" si="3">E55</f>
        <v>случай госпитализации</v>
      </c>
      <c r="F39" s="164">
        <f t="shared" si="3"/>
        <v>1.023E-2</v>
      </c>
      <c r="G39" s="165">
        <f t="shared" si="3"/>
        <v>292666.255</v>
      </c>
      <c r="H39" s="164">
        <f t="shared" si="3"/>
        <v>2.95</v>
      </c>
      <c r="I39" s="164" t="str">
        <f t="shared" si="3"/>
        <v>Х</v>
      </c>
      <c r="J39" s="164">
        <f t="shared" si="3"/>
        <v>2993.9757886499997</v>
      </c>
      <c r="K39" s="164" t="str">
        <f t="shared" si="3"/>
        <v>Х</v>
      </c>
      <c r="L39" s="164">
        <f t="shared" si="3"/>
        <v>2917309.1</v>
      </c>
      <c r="M39" s="166" t="str">
        <f t="shared" si="3"/>
        <v>Х</v>
      </c>
    </row>
    <row r="40" spans="1:14" ht="43.5" customHeight="1" x14ac:dyDescent="0.25">
      <c r="A40" s="252" t="s">
        <v>175</v>
      </c>
      <c r="B40" s="253"/>
      <c r="C40" s="254"/>
      <c r="D40" s="62" t="s">
        <v>91</v>
      </c>
      <c r="E40" s="63" t="s">
        <v>54</v>
      </c>
      <c r="F40" s="118">
        <f>F56+F69</f>
        <v>5.0000000000000001E-3</v>
      </c>
      <c r="G40" s="85">
        <f t="shared" si="2"/>
        <v>103037.89128205972</v>
      </c>
      <c r="H40" s="65">
        <v>2.95</v>
      </c>
      <c r="I40" s="67" t="s">
        <v>45</v>
      </c>
      <c r="J40" s="119">
        <f>L40/974393*1000</f>
        <v>515.18945641029859</v>
      </c>
      <c r="K40" s="67" t="s">
        <v>45</v>
      </c>
      <c r="L40" s="120">
        <f>L56+L69</f>
        <v>501997</v>
      </c>
      <c r="M40" s="163" t="s">
        <v>45</v>
      </c>
    </row>
    <row r="41" spans="1:14" ht="38.25" customHeight="1" x14ac:dyDescent="0.25">
      <c r="A41" s="249" t="s">
        <v>176</v>
      </c>
      <c r="B41" s="250"/>
      <c r="C41" s="251"/>
      <c r="D41" s="62" t="s">
        <v>174</v>
      </c>
      <c r="E41" s="63" t="s">
        <v>54</v>
      </c>
      <c r="F41" s="125">
        <f>F57</f>
        <v>3.3200156405064486E-3</v>
      </c>
      <c r="G41" s="85">
        <f t="shared" si="2"/>
        <v>251641.36012364761</v>
      </c>
      <c r="H41" s="65">
        <v>2.95</v>
      </c>
      <c r="I41" s="67" t="s">
        <v>45</v>
      </c>
      <c r="J41" s="119">
        <f>L41/974393*1000</f>
        <v>835.45325140882585</v>
      </c>
      <c r="K41" s="67" t="s">
        <v>45</v>
      </c>
      <c r="L41" s="120">
        <f>L57+L68</f>
        <v>814059.8</v>
      </c>
      <c r="M41" s="163" t="s">
        <v>45</v>
      </c>
    </row>
    <row r="42" spans="1:14" x14ac:dyDescent="0.25">
      <c r="A42" s="274" t="s">
        <v>197</v>
      </c>
      <c r="B42" s="244"/>
      <c r="C42" s="245"/>
      <c r="D42" s="98" t="s">
        <v>92</v>
      </c>
      <c r="E42" s="121" t="s">
        <v>56</v>
      </c>
      <c r="F42" s="112">
        <f>F58+F71</f>
        <v>7.3000000000000009E-2</v>
      </c>
      <c r="G42" s="113">
        <f t="shared" si="2"/>
        <v>59333.055244270145</v>
      </c>
      <c r="H42" s="108">
        <v>2.95</v>
      </c>
      <c r="I42" s="70" t="s">
        <v>45</v>
      </c>
      <c r="J42" s="99">
        <f t="shared" si="0"/>
        <v>4331.3130328317211</v>
      </c>
      <c r="K42" s="70" t="s">
        <v>45</v>
      </c>
      <c r="L42" s="109">
        <f>L58+L73</f>
        <v>4220401.0999999996</v>
      </c>
      <c r="M42" s="160" t="s">
        <v>45</v>
      </c>
    </row>
    <row r="43" spans="1:14" ht="25.5" customHeight="1" x14ac:dyDescent="0.25">
      <c r="A43" s="252" t="s">
        <v>177</v>
      </c>
      <c r="B43" s="253"/>
      <c r="C43" s="254"/>
      <c r="D43" s="164" t="s">
        <v>145</v>
      </c>
      <c r="E43" s="167" t="str">
        <f>E59</f>
        <v>случай лечения</v>
      </c>
      <c r="F43" s="167">
        <f>F59+F72</f>
        <v>6.4999999999999997E-3</v>
      </c>
      <c r="G43" s="167">
        <f>G59+G72</f>
        <v>220648.2</v>
      </c>
      <c r="H43" s="167">
        <f>H59</f>
        <v>2.95</v>
      </c>
      <c r="I43" s="167" t="str">
        <f>I59</f>
        <v>Х</v>
      </c>
      <c r="J43" s="119">
        <f t="shared" si="0"/>
        <v>1434.2132999723929</v>
      </c>
      <c r="K43" s="167" t="str">
        <f>K59</f>
        <v>Х</v>
      </c>
      <c r="L43" s="167">
        <f>L59+L72</f>
        <v>1397487.4</v>
      </c>
      <c r="M43" s="168" t="str">
        <f>M59</f>
        <v>Х</v>
      </c>
    </row>
    <row r="44" spans="1:14" ht="25.5" customHeight="1" x14ac:dyDescent="0.25">
      <c r="A44" s="252" t="s">
        <v>178</v>
      </c>
      <c r="B44" s="253"/>
      <c r="C44" s="254"/>
      <c r="D44" s="164" t="s">
        <v>152</v>
      </c>
      <c r="E44" s="167" t="s">
        <v>56</v>
      </c>
      <c r="F44" s="167">
        <f>F60+F73</f>
        <v>4.9200000000000003E-4</v>
      </c>
      <c r="G44" s="167">
        <f>G60+G73</f>
        <v>350140.22000000003</v>
      </c>
      <c r="H44" s="167">
        <v>2.95</v>
      </c>
      <c r="I44" s="167" t="s">
        <v>45</v>
      </c>
      <c r="J44" s="119">
        <f t="shared" si="0"/>
        <v>172.26899208019765</v>
      </c>
      <c r="K44" s="167" t="s">
        <v>45</v>
      </c>
      <c r="L44" s="167">
        <f>L60+L73</f>
        <v>167857.7</v>
      </c>
      <c r="M44" s="168" t="s">
        <v>45</v>
      </c>
    </row>
    <row r="45" spans="1:14" ht="15" customHeight="1" x14ac:dyDescent="0.25">
      <c r="A45" s="275" t="s">
        <v>179</v>
      </c>
      <c r="B45" s="244"/>
      <c r="C45" s="245"/>
      <c r="D45" s="98" t="s">
        <v>94</v>
      </c>
      <c r="E45" s="121" t="s">
        <v>60</v>
      </c>
      <c r="F45" s="112">
        <f>F74</f>
        <v>9.1999999999999998E-2</v>
      </c>
      <c r="G45" s="113">
        <f>G74</f>
        <v>6194.7050000000008</v>
      </c>
      <c r="H45" s="108">
        <v>2.95</v>
      </c>
      <c r="I45" s="70" t="s">
        <v>45</v>
      </c>
      <c r="J45" s="99">
        <f t="shared" si="0"/>
        <v>564.95582377952223</v>
      </c>
      <c r="K45" s="70" t="s">
        <v>45</v>
      </c>
      <c r="L45" s="109">
        <f>L74</f>
        <v>550489</v>
      </c>
      <c r="M45" s="160" t="s">
        <v>45</v>
      </c>
    </row>
    <row r="46" spans="1:14" ht="15" customHeight="1" x14ac:dyDescent="0.25">
      <c r="A46" s="275" t="s">
        <v>180</v>
      </c>
      <c r="B46" s="244"/>
      <c r="C46" s="245"/>
      <c r="D46" s="98" t="s">
        <v>95</v>
      </c>
      <c r="E46" s="98" t="s">
        <v>63</v>
      </c>
      <c r="F46" s="70"/>
      <c r="G46" s="106"/>
      <c r="H46" s="108">
        <v>2.95</v>
      </c>
      <c r="I46" s="70" t="s">
        <v>45</v>
      </c>
      <c r="J46" s="99">
        <f>L46/974393*1000</f>
        <v>401.75165461985051</v>
      </c>
      <c r="K46" s="70" t="s">
        <v>45</v>
      </c>
      <c r="L46" s="114">
        <f>ROUND((38316036.3-228400.3-2500000)*1.1%,1)</f>
        <v>391464</v>
      </c>
      <c r="M46" s="160" t="s">
        <v>45</v>
      </c>
    </row>
    <row r="47" spans="1:14" ht="15" customHeight="1" x14ac:dyDescent="0.25">
      <c r="A47" s="244" t="s">
        <v>181</v>
      </c>
      <c r="B47" s="244"/>
      <c r="C47" s="245"/>
      <c r="D47" s="98" t="s">
        <v>97</v>
      </c>
      <c r="E47" s="98" t="s">
        <v>63</v>
      </c>
      <c r="F47" s="169"/>
      <c r="G47" s="170"/>
      <c r="H47" s="171"/>
      <c r="I47" s="70" t="s">
        <v>45</v>
      </c>
      <c r="J47" s="99"/>
      <c r="K47" s="70" t="s">
        <v>45</v>
      </c>
      <c r="L47" s="114">
        <v>0</v>
      </c>
      <c r="M47" s="160" t="s">
        <v>45</v>
      </c>
    </row>
    <row r="48" spans="1:14" ht="41.25" customHeight="1" x14ac:dyDescent="0.25">
      <c r="A48" s="258" t="s">
        <v>96</v>
      </c>
      <c r="B48" s="259"/>
      <c r="C48" s="260"/>
      <c r="D48" s="62" t="s">
        <v>99</v>
      </c>
      <c r="E48" s="62"/>
      <c r="F48" s="172"/>
      <c r="G48" s="173"/>
      <c r="H48" s="174">
        <v>2.95</v>
      </c>
      <c r="I48" s="169" t="s">
        <v>45</v>
      </c>
      <c r="J48" s="175">
        <f t="shared" ref="J48" si="4">L48/979661*1000</f>
        <v>37336.795483335562</v>
      </c>
      <c r="K48" s="169" t="s">
        <v>45</v>
      </c>
      <c r="L48" s="176">
        <f>L49+L50+L52+L53+L54+L58</f>
        <v>36577402.399999999</v>
      </c>
      <c r="M48" s="175">
        <f>L48/(L76+K76)*100</f>
        <v>78.231746453195385</v>
      </c>
    </row>
    <row r="49" spans="1:14" ht="21.75" customHeight="1" x14ac:dyDescent="0.25">
      <c r="A49" s="261" t="s">
        <v>98</v>
      </c>
      <c r="B49" s="256"/>
      <c r="C49" s="257"/>
      <c r="D49" s="62" t="s">
        <v>182</v>
      </c>
      <c r="E49" s="62" t="s">
        <v>48</v>
      </c>
      <c r="F49" s="64">
        <v>0.28999999999999998</v>
      </c>
      <c r="G49" s="60">
        <f>2408.3*H49</f>
        <v>7104.4850000000006</v>
      </c>
      <c r="H49" s="65">
        <v>2.95</v>
      </c>
      <c r="I49" s="66" t="s">
        <v>45</v>
      </c>
      <c r="J49" s="60">
        <f t="shared" ref="J49:J58" si="5">G49*F49</f>
        <v>2060.3006500000001</v>
      </c>
      <c r="K49" s="70" t="s">
        <v>45</v>
      </c>
      <c r="L49" s="68">
        <f t="shared" ref="L49:L56" si="6">ROUND(J49*974393/1000,1)</f>
        <v>2007542.5</v>
      </c>
      <c r="M49" s="70" t="s">
        <v>45</v>
      </c>
    </row>
    <row r="50" spans="1:14" ht="39.6" customHeight="1" x14ac:dyDescent="0.25">
      <c r="A50" s="262" t="s">
        <v>100</v>
      </c>
      <c r="B50" s="263"/>
      <c r="C50" s="264"/>
      <c r="D50" s="62" t="s">
        <v>101</v>
      </c>
      <c r="E50" s="117" t="s">
        <v>83</v>
      </c>
      <c r="F50" s="128">
        <v>2.9</v>
      </c>
      <c r="G50" s="60">
        <f>499.7*H50</f>
        <v>1474.115</v>
      </c>
      <c r="H50" s="65">
        <v>2.95</v>
      </c>
      <c r="I50" s="69" t="s">
        <v>45</v>
      </c>
      <c r="J50" s="60">
        <f t="shared" si="5"/>
        <v>4274.9335000000001</v>
      </c>
      <c r="K50" s="70" t="s">
        <v>45</v>
      </c>
      <c r="L50" s="68">
        <f t="shared" si="6"/>
        <v>4165465.3</v>
      </c>
      <c r="M50" s="70" t="s">
        <v>45</v>
      </c>
    </row>
    <row r="51" spans="1:14" ht="76.5" x14ac:dyDescent="0.25">
      <c r="A51" s="265"/>
      <c r="B51" s="266"/>
      <c r="C51" s="267"/>
      <c r="D51" s="62" t="s">
        <v>156</v>
      </c>
      <c r="E51" s="117" t="s">
        <v>173</v>
      </c>
      <c r="F51" s="128">
        <v>0.80800000000000005</v>
      </c>
      <c r="G51" s="60">
        <f>1055.7*H51</f>
        <v>3114.3150000000005</v>
      </c>
      <c r="H51" s="65">
        <v>2.95</v>
      </c>
      <c r="I51" s="69" t="s">
        <v>45</v>
      </c>
      <c r="J51" s="60">
        <f t="shared" si="5"/>
        <v>2516.3665200000005</v>
      </c>
      <c r="K51" s="70" t="s">
        <v>45</v>
      </c>
      <c r="L51" s="68">
        <f t="shared" si="6"/>
        <v>2451929.9</v>
      </c>
      <c r="M51" s="70" t="s">
        <v>45</v>
      </c>
    </row>
    <row r="52" spans="1:14" ht="51" x14ac:dyDescent="0.25">
      <c r="A52" s="265"/>
      <c r="B52" s="266"/>
      <c r="C52" s="267"/>
      <c r="D52" s="62" t="s">
        <v>102</v>
      </c>
      <c r="E52" s="117" t="s">
        <v>86</v>
      </c>
      <c r="F52" s="128">
        <v>0.54</v>
      </c>
      <c r="G52" s="60">
        <f>616.1*H52</f>
        <v>1817.4950000000001</v>
      </c>
      <c r="H52" s="65">
        <v>2.95</v>
      </c>
      <c r="I52" s="69" t="s">
        <v>45</v>
      </c>
      <c r="J52" s="60">
        <f t="shared" si="5"/>
        <v>981.44730000000015</v>
      </c>
      <c r="K52" s="70" t="s">
        <v>45</v>
      </c>
      <c r="L52" s="68">
        <f t="shared" si="6"/>
        <v>956315.4</v>
      </c>
      <c r="M52" s="70" t="s">
        <v>45</v>
      </c>
    </row>
    <row r="53" spans="1:14" ht="15" customHeight="1" x14ac:dyDescent="0.25">
      <c r="A53" s="268"/>
      <c r="B53" s="269"/>
      <c r="C53" s="270"/>
      <c r="D53" s="62" t="s">
        <v>183</v>
      </c>
      <c r="E53" s="117" t="s">
        <v>52</v>
      </c>
      <c r="F53" s="128">
        <v>1.77</v>
      </c>
      <c r="G53" s="60">
        <f>1362.5*H53</f>
        <v>4019.3750000000005</v>
      </c>
      <c r="H53" s="65">
        <v>2.95</v>
      </c>
      <c r="I53" s="69" t="s">
        <v>45</v>
      </c>
      <c r="J53" s="60">
        <f t="shared" si="5"/>
        <v>7114.2937500000007</v>
      </c>
      <c r="K53" s="70" t="s">
        <v>45</v>
      </c>
      <c r="L53" s="68">
        <f t="shared" si="6"/>
        <v>6932118</v>
      </c>
      <c r="M53" s="70" t="s">
        <v>45</v>
      </c>
    </row>
    <row r="54" spans="1:14" ht="39.75" customHeight="1" x14ac:dyDescent="0.25">
      <c r="A54" s="255" t="s">
        <v>194</v>
      </c>
      <c r="B54" s="256"/>
      <c r="C54" s="257"/>
      <c r="D54" s="62" t="s">
        <v>104</v>
      </c>
      <c r="E54" s="63" t="s">
        <v>54</v>
      </c>
      <c r="F54" s="64">
        <v>0.19500000000000001</v>
      </c>
      <c r="G54" s="60">
        <f>J54/F54</f>
        <v>96289.059063647961</v>
      </c>
      <c r="H54" s="65">
        <v>2.95</v>
      </c>
      <c r="I54" s="69" t="s">
        <v>45</v>
      </c>
      <c r="J54" s="60">
        <f>L54/974393*1000</f>
        <v>18776.366517411352</v>
      </c>
      <c r="K54" s="70" t="s">
        <v>45</v>
      </c>
      <c r="L54" s="68">
        <f>37519355.4-L61-L58-L53-L52-L50-L49-L46</f>
        <v>18295560.099999998</v>
      </c>
      <c r="M54" s="70" t="s">
        <v>45</v>
      </c>
    </row>
    <row r="55" spans="1:14" ht="30" customHeight="1" x14ac:dyDescent="0.25">
      <c r="A55" s="252" t="s">
        <v>153</v>
      </c>
      <c r="B55" s="253"/>
      <c r="C55" s="254"/>
      <c r="D55" s="62" t="s">
        <v>184</v>
      </c>
      <c r="E55" s="63" t="s">
        <v>54</v>
      </c>
      <c r="F55" s="130">
        <v>1.023E-2</v>
      </c>
      <c r="G55" s="60">
        <f>99208.9*2.95</f>
        <v>292666.255</v>
      </c>
      <c r="H55" s="66">
        <f>прил7!H55</f>
        <v>2.95</v>
      </c>
      <c r="I55" s="69" t="s">
        <v>45</v>
      </c>
      <c r="J55" s="130">
        <f>F55*G55</f>
        <v>2993.9757886499997</v>
      </c>
      <c r="K55" s="130" t="str">
        <f>прил7!K55</f>
        <v>Х</v>
      </c>
      <c r="L55" s="68">
        <f>ROUND(J55*974393/1000,1)</f>
        <v>2917309.1</v>
      </c>
      <c r="M55" s="130" t="str">
        <f>прил7!M55</f>
        <v>Х</v>
      </c>
    </row>
    <row r="56" spans="1:14" ht="25.5" customHeight="1" x14ac:dyDescent="0.25">
      <c r="A56" s="252" t="s">
        <v>155</v>
      </c>
      <c r="B56" s="253"/>
      <c r="C56" s="254"/>
      <c r="D56" s="62" t="s">
        <v>144</v>
      </c>
      <c r="E56" s="63" t="s">
        <v>54</v>
      </c>
      <c r="F56" s="64">
        <v>5.0000000000000001E-3</v>
      </c>
      <c r="G56" s="60">
        <f>34928.1*H56</f>
        <v>103037.895</v>
      </c>
      <c r="H56" s="65">
        <v>2.95</v>
      </c>
      <c r="I56" s="69" t="s">
        <v>45</v>
      </c>
      <c r="J56" s="60">
        <f>G56*F56</f>
        <v>515.18947500000002</v>
      </c>
      <c r="K56" s="69" t="s">
        <v>45</v>
      </c>
      <c r="L56" s="68">
        <f t="shared" si="6"/>
        <v>501997</v>
      </c>
      <c r="M56" s="70" t="s">
        <v>45</v>
      </c>
      <c r="N56" s="127"/>
    </row>
    <row r="57" spans="1:14" ht="28.9" customHeight="1" x14ac:dyDescent="0.25">
      <c r="A57" s="249" t="s">
        <v>157</v>
      </c>
      <c r="B57" s="250"/>
      <c r="C57" s="251"/>
      <c r="D57" s="62" t="s">
        <v>158</v>
      </c>
      <c r="E57" s="63" t="s">
        <v>54</v>
      </c>
      <c r="F57" s="64">
        <f>прил7!F55</f>
        <v>3.3200156405064486E-3</v>
      </c>
      <c r="G57" s="71">
        <f>J57/F57</f>
        <v>251641.36012364761</v>
      </c>
      <c r="H57" s="177">
        <v>2.95</v>
      </c>
      <c r="I57" s="178" t="s">
        <v>45</v>
      </c>
      <c r="J57" s="71">
        <f>L57/974393*1000</f>
        <v>835.45325140882585</v>
      </c>
      <c r="K57" s="69" t="s">
        <v>45</v>
      </c>
      <c r="L57" s="68">
        <v>814059.8</v>
      </c>
      <c r="M57" s="70" t="s">
        <v>45</v>
      </c>
    </row>
    <row r="58" spans="1:14" ht="18.600000000000001" customHeight="1" x14ac:dyDescent="0.25">
      <c r="A58" s="255" t="s">
        <v>103</v>
      </c>
      <c r="B58" s="256"/>
      <c r="C58" s="257"/>
      <c r="D58" s="62" t="s">
        <v>106</v>
      </c>
      <c r="E58" s="63" t="s">
        <v>56</v>
      </c>
      <c r="F58" s="64">
        <f>0.065+0.008</f>
        <v>7.3000000000000009E-2</v>
      </c>
      <c r="G58" s="60">
        <f>20112.9*H58</f>
        <v>59333.055000000008</v>
      </c>
      <c r="H58" s="65">
        <v>2.95</v>
      </c>
      <c r="I58" s="69" t="s">
        <v>45</v>
      </c>
      <c r="J58" s="60">
        <f t="shared" si="5"/>
        <v>4331.3130150000015</v>
      </c>
      <c r="K58" s="69" t="s">
        <v>45</v>
      </c>
      <c r="L58" s="68">
        <f>ROUND(J58*974393/1000,1)</f>
        <v>4220401.0999999996</v>
      </c>
      <c r="M58" s="70" t="s">
        <v>45</v>
      </c>
    </row>
    <row r="59" spans="1:14" ht="18.600000000000001" customHeight="1" x14ac:dyDescent="0.25">
      <c r="A59" s="252" t="s">
        <v>153</v>
      </c>
      <c r="B59" s="253"/>
      <c r="C59" s="254"/>
      <c r="D59" s="62" t="s">
        <v>185</v>
      </c>
      <c r="E59" s="63" t="s">
        <v>56</v>
      </c>
      <c r="F59" s="129">
        <v>6.4999999999999997E-3</v>
      </c>
      <c r="G59" s="60">
        <f>74796*H59</f>
        <v>220648.2</v>
      </c>
      <c r="H59" s="65">
        <v>2.95</v>
      </c>
      <c r="I59" s="69" t="s">
        <v>45</v>
      </c>
      <c r="J59" s="60">
        <f t="shared" ref="J59" si="7">G59*F59</f>
        <v>1434.2133000000001</v>
      </c>
      <c r="K59" s="69" t="s">
        <v>45</v>
      </c>
      <c r="L59" s="68">
        <f>ROUND(J59*974393/1000,1)</f>
        <v>1397487.4</v>
      </c>
      <c r="M59" s="70" t="s">
        <v>45</v>
      </c>
    </row>
    <row r="60" spans="1:14" ht="25.9" customHeight="1" thickBot="1" x14ac:dyDescent="0.3">
      <c r="A60" s="271" t="s">
        <v>154</v>
      </c>
      <c r="B60" s="272"/>
      <c r="C60" s="273"/>
      <c r="D60" s="179" t="s">
        <v>186</v>
      </c>
      <c r="E60" s="63" t="s">
        <v>56</v>
      </c>
      <c r="F60" s="129">
        <v>4.9200000000000003E-4</v>
      </c>
      <c r="G60" s="60">
        <f>118691.6*H60</f>
        <v>350140.22000000003</v>
      </c>
      <c r="H60" s="65">
        <v>2.95</v>
      </c>
      <c r="I60" s="69" t="s">
        <v>45</v>
      </c>
      <c r="J60" s="60">
        <f t="shared" ref="J60" si="8">G60*F60</f>
        <v>172.26898824000003</v>
      </c>
      <c r="K60" s="69" t="s">
        <v>45</v>
      </c>
      <c r="L60" s="68">
        <f>ROUND(J60*974393/1000,1)</f>
        <v>167857.7</v>
      </c>
      <c r="M60" s="70" t="s">
        <v>45</v>
      </c>
    </row>
    <row r="61" spans="1:14" ht="30.6" customHeight="1" x14ac:dyDescent="0.25">
      <c r="A61" s="258" t="s">
        <v>105</v>
      </c>
      <c r="B61" s="259"/>
      <c r="C61" s="260"/>
      <c r="D61" s="62" t="s">
        <v>107</v>
      </c>
      <c r="E61" s="62"/>
      <c r="F61" s="67"/>
      <c r="G61" s="60"/>
      <c r="H61" s="65">
        <v>2.95</v>
      </c>
      <c r="I61" s="69" t="s">
        <v>45</v>
      </c>
      <c r="J61" s="85">
        <f>J74</f>
        <v>569.91286000000002</v>
      </c>
      <c r="K61" s="69" t="s">
        <v>45</v>
      </c>
      <c r="L61" s="68">
        <f>L74</f>
        <v>550489</v>
      </c>
      <c r="M61" s="119">
        <f>L61/(K76+L76)*100</f>
        <v>1.1773858461111792</v>
      </c>
    </row>
    <row r="62" spans="1:14" ht="26.45" customHeight="1" x14ac:dyDescent="0.25">
      <c r="A62" s="261" t="s">
        <v>98</v>
      </c>
      <c r="B62" s="256"/>
      <c r="C62" s="257"/>
      <c r="D62" s="62" t="s">
        <v>187</v>
      </c>
      <c r="E62" s="62" t="s">
        <v>48</v>
      </c>
      <c r="F62" s="64"/>
      <c r="G62" s="60"/>
      <c r="H62" s="65">
        <v>2.95</v>
      </c>
      <c r="I62" s="66" t="s">
        <v>45</v>
      </c>
      <c r="J62" s="60"/>
      <c r="K62" s="69" t="s">
        <v>45</v>
      </c>
      <c r="L62" s="68"/>
      <c r="M62" s="70" t="s">
        <v>45</v>
      </c>
    </row>
    <row r="63" spans="1:14" ht="43.15" customHeight="1" x14ac:dyDescent="0.25">
      <c r="A63" s="262" t="s">
        <v>100</v>
      </c>
      <c r="B63" s="263"/>
      <c r="C63" s="264"/>
      <c r="D63" s="62" t="s">
        <v>108</v>
      </c>
      <c r="E63" s="117" t="s">
        <v>83</v>
      </c>
      <c r="F63" s="65"/>
      <c r="G63" s="85"/>
      <c r="H63" s="65">
        <v>2.95</v>
      </c>
      <c r="I63" s="66" t="s">
        <v>45</v>
      </c>
      <c r="J63" s="85"/>
      <c r="K63" s="69" t="s">
        <v>45</v>
      </c>
      <c r="L63" s="85"/>
      <c r="M63" s="70" t="s">
        <v>45</v>
      </c>
    </row>
    <row r="64" spans="1:14" ht="82.9" customHeight="1" x14ac:dyDescent="0.25">
      <c r="A64" s="265"/>
      <c r="B64" s="266"/>
      <c r="C64" s="267"/>
      <c r="D64" s="62" t="s">
        <v>161</v>
      </c>
      <c r="E64" s="117" t="s">
        <v>173</v>
      </c>
      <c r="F64" s="65"/>
      <c r="G64" s="85"/>
      <c r="H64" s="65"/>
      <c r="I64" s="66"/>
      <c r="J64" s="85"/>
      <c r="K64" s="69"/>
      <c r="L64" s="85"/>
      <c r="M64" s="70"/>
    </row>
    <row r="65" spans="1:14" ht="52.9" customHeight="1" x14ac:dyDescent="0.25">
      <c r="A65" s="265"/>
      <c r="B65" s="266"/>
      <c r="C65" s="267"/>
      <c r="D65" s="62" t="s">
        <v>109</v>
      </c>
      <c r="E65" s="117" t="s">
        <v>86</v>
      </c>
      <c r="F65" s="65"/>
      <c r="G65" s="85"/>
      <c r="H65" s="65">
        <v>2.95</v>
      </c>
      <c r="I65" s="66" t="s">
        <v>45</v>
      </c>
      <c r="J65" s="85"/>
      <c r="K65" s="69" t="s">
        <v>45</v>
      </c>
      <c r="L65" s="85"/>
      <c r="M65" s="70" t="s">
        <v>45</v>
      </c>
    </row>
    <row r="66" spans="1:14" ht="26.45" customHeight="1" x14ac:dyDescent="0.25">
      <c r="A66" s="268"/>
      <c r="B66" s="269"/>
      <c r="C66" s="270"/>
      <c r="D66" s="62" t="s">
        <v>188</v>
      </c>
      <c r="E66" s="117" t="s">
        <v>52</v>
      </c>
      <c r="F66" s="65"/>
      <c r="G66" s="85"/>
      <c r="H66" s="65">
        <v>2.95</v>
      </c>
      <c r="I66" s="66" t="s">
        <v>45</v>
      </c>
      <c r="J66" s="85"/>
      <c r="K66" s="69" t="s">
        <v>45</v>
      </c>
      <c r="L66" s="85"/>
      <c r="M66" s="70" t="s">
        <v>45</v>
      </c>
    </row>
    <row r="67" spans="1:14" ht="38.450000000000003" customHeight="1" x14ac:dyDescent="0.25">
      <c r="A67" s="255" t="s">
        <v>194</v>
      </c>
      <c r="B67" s="256"/>
      <c r="C67" s="257"/>
      <c r="D67" s="62" t="s">
        <v>110</v>
      </c>
      <c r="E67" s="117" t="s">
        <v>54</v>
      </c>
      <c r="F67" s="131"/>
      <c r="G67" s="60"/>
      <c r="H67" s="65">
        <v>2.95</v>
      </c>
      <c r="I67" s="66" t="s">
        <v>45</v>
      </c>
      <c r="J67" s="60"/>
      <c r="K67" s="69" t="s">
        <v>45</v>
      </c>
      <c r="L67" s="85"/>
      <c r="M67" s="70" t="s">
        <v>45</v>
      </c>
    </row>
    <row r="68" spans="1:14" ht="43.15" customHeight="1" x14ac:dyDescent="0.25">
      <c r="A68" s="252" t="s">
        <v>153</v>
      </c>
      <c r="B68" s="253"/>
      <c r="C68" s="254"/>
      <c r="D68" s="62" t="s">
        <v>162</v>
      </c>
      <c r="E68" s="117" t="s">
        <v>54</v>
      </c>
      <c r="F68" s="105"/>
      <c r="G68" s="85"/>
      <c r="H68" s="65">
        <v>2.95</v>
      </c>
      <c r="I68" s="66" t="s">
        <v>45</v>
      </c>
      <c r="J68" s="85"/>
      <c r="K68" s="69" t="s">
        <v>45</v>
      </c>
      <c r="L68" s="85"/>
      <c r="M68" s="70" t="s">
        <v>45</v>
      </c>
    </row>
    <row r="69" spans="1:14" ht="38.450000000000003" customHeight="1" x14ac:dyDescent="0.25">
      <c r="A69" s="252" t="s">
        <v>155</v>
      </c>
      <c r="B69" s="253"/>
      <c r="C69" s="254"/>
      <c r="D69" s="62" t="s">
        <v>163</v>
      </c>
      <c r="E69" s="117" t="s">
        <v>54</v>
      </c>
      <c r="F69" s="131"/>
      <c r="G69" s="60"/>
      <c r="H69" s="65"/>
      <c r="I69" s="66"/>
      <c r="J69" s="60"/>
      <c r="K69" s="69"/>
      <c r="L69" s="85"/>
      <c r="M69" s="70"/>
    </row>
    <row r="70" spans="1:14" ht="27.6" customHeight="1" x14ac:dyDescent="0.25">
      <c r="A70" s="249" t="s">
        <v>157</v>
      </c>
      <c r="B70" s="250"/>
      <c r="C70" s="251"/>
      <c r="D70" s="62" t="s">
        <v>196</v>
      </c>
      <c r="E70" s="117" t="s">
        <v>54</v>
      </c>
      <c r="F70" s="105"/>
      <c r="G70" s="85"/>
      <c r="H70" s="65">
        <v>2.95</v>
      </c>
      <c r="I70" s="66" t="s">
        <v>45</v>
      </c>
      <c r="J70" s="85"/>
      <c r="K70" s="69" t="s">
        <v>45</v>
      </c>
      <c r="L70" s="85"/>
      <c r="M70" s="70" t="s">
        <v>45</v>
      </c>
    </row>
    <row r="71" spans="1:14" ht="15" customHeight="1" x14ac:dyDescent="0.25">
      <c r="A71" s="255" t="s">
        <v>103</v>
      </c>
      <c r="B71" s="256"/>
      <c r="C71" s="257"/>
      <c r="D71" s="62" t="s">
        <v>111</v>
      </c>
      <c r="E71" s="63" t="s">
        <v>56</v>
      </c>
      <c r="F71" s="65"/>
      <c r="G71" s="85"/>
      <c r="H71" s="65">
        <v>2.95</v>
      </c>
      <c r="I71" s="66" t="s">
        <v>45</v>
      </c>
      <c r="J71" s="85"/>
      <c r="K71" s="69" t="s">
        <v>45</v>
      </c>
      <c r="L71" s="85"/>
      <c r="M71" s="70" t="s">
        <v>45</v>
      </c>
    </row>
    <row r="72" spans="1:14" ht="15" customHeight="1" x14ac:dyDescent="0.25">
      <c r="A72" s="252" t="s">
        <v>153</v>
      </c>
      <c r="B72" s="253"/>
      <c r="C72" s="254"/>
      <c r="D72" s="62" t="s">
        <v>189</v>
      </c>
      <c r="E72" s="63" t="s">
        <v>56</v>
      </c>
      <c r="F72" s="65"/>
      <c r="G72" s="85"/>
      <c r="H72" s="65"/>
      <c r="I72" s="66"/>
      <c r="J72" s="85"/>
      <c r="K72" s="69"/>
      <c r="L72" s="85"/>
      <c r="M72" s="70"/>
    </row>
    <row r="73" spans="1:14" ht="15" customHeight="1" x14ac:dyDescent="0.25">
      <c r="A73" s="217" t="s">
        <v>154</v>
      </c>
      <c r="B73" s="217"/>
      <c r="C73" s="217"/>
      <c r="D73" s="62" t="s">
        <v>190</v>
      </c>
      <c r="E73" s="63" t="s">
        <v>56</v>
      </c>
      <c r="F73" s="65"/>
      <c r="G73" s="85"/>
      <c r="H73" s="65"/>
      <c r="I73" s="66"/>
      <c r="J73" s="85"/>
      <c r="K73" s="69"/>
      <c r="L73" s="85"/>
      <c r="M73" s="70"/>
    </row>
    <row r="74" spans="1:14" ht="20.25" customHeight="1" x14ac:dyDescent="0.25">
      <c r="A74" s="246" t="s">
        <v>93</v>
      </c>
      <c r="B74" s="247"/>
      <c r="C74" s="248"/>
      <c r="D74" s="62" t="s">
        <v>113</v>
      </c>
      <c r="E74" s="63" t="s">
        <v>60</v>
      </c>
      <c r="F74" s="129">
        <v>9.1999999999999998E-2</v>
      </c>
      <c r="G74" s="60">
        <f>2099.9*H74</f>
        <v>6194.7050000000008</v>
      </c>
      <c r="H74" s="65">
        <v>2.95</v>
      </c>
      <c r="I74" s="66" t="s">
        <v>45</v>
      </c>
      <c r="J74" s="60">
        <f>F74*G74</f>
        <v>569.91286000000002</v>
      </c>
      <c r="K74" s="69" t="s">
        <v>45</v>
      </c>
      <c r="L74" s="68">
        <v>550489</v>
      </c>
      <c r="M74" s="70" t="s">
        <v>45</v>
      </c>
    </row>
    <row r="75" spans="1:14" ht="20.25" customHeight="1" x14ac:dyDescent="0.25">
      <c r="A75" s="246" t="s">
        <v>192</v>
      </c>
      <c r="B75" s="247"/>
      <c r="C75" s="248"/>
      <c r="D75" s="62" t="s">
        <v>191</v>
      </c>
      <c r="E75" s="63" t="s">
        <v>63</v>
      </c>
      <c r="F75" s="129" t="s">
        <v>45</v>
      </c>
      <c r="G75" s="129" t="s">
        <v>45</v>
      </c>
      <c r="H75" s="65"/>
      <c r="I75" s="66" t="s">
        <v>45</v>
      </c>
      <c r="J75" s="60"/>
      <c r="K75" s="69" t="s">
        <v>45</v>
      </c>
      <c r="L75" s="68"/>
      <c r="M75" s="70" t="s">
        <v>45</v>
      </c>
    </row>
    <row r="76" spans="1:14" ht="15" customHeight="1" x14ac:dyDescent="0.25">
      <c r="A76" s="274" t="s">
        <v>112</v>
      </c>
      <c r="B76" s="244"/>
      <c r="C76" s="245"/>
      <c r="D76" s="98" t="s">
        <v>193</v>
      </c>
      <c r="E76" s="98"/>
      <c r="F76" s="97" t="s">
        <v>45</v>
      </c>
      <c r="G76" s="97" t="s">
        <v>45</v>
      </c>
      <c r="H76" s="65">
        <v>2.95</v>
      </c>
      <c r="I76" s="99">
        <f>I13+I27</f>
        <v>9548.6887396616057</v>
      </c>
      <c r="J76" s="99">
        <f>J32</f>
        <v>38505.362210114399</v>
      </c>
      <c r="K76" s="99">
        <f>K13+K27</f>
        <v>9235835.5017953329</v>
      </c>
      <c r="L76" s="99">
        <f>прил6!E12</f>
        <v>37519355.399999999</v>
      </c>
      <c r="M76" s="132">
        <f>M32+M27+M13</f>
        <v>100.00277599901582</v>
      </c>
      <c r="N76" s="102">
        <f>L76+K76</f>
        <v>46755190.901795328</v>
      </c>
    </row>
    <row r="77" spans="1:14" ht="14.45" customHeight="1" x14ac:dyDescent="0.3">
      <c r="K77" s="180"/>
      <c r="L77" s="181"/>
      <c r="M77" s="181"/>
      <c r="N77" s="102"/>
    </row>
    <row r="78" spans="1:14" ht="15" customHeight="1" x14ac:dyDescent="0.25">
      <c r="A78" s="241" t="s">
        <v>198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</row>
    <row r="79" spans="1:14" ht="14.45" customHeight="1" x14ac:dyDescent="0.25">
      <c r="A79" s="238" t="s">
        <v>201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</row>
    <row r="80" spans="1:14" ht="15" customHeight="1" x14ac:dyDescent="0.25">
      <c r="A80" s="238" t="s">
        <v>202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</row>
    <row r="81" spans="1:13" x14ac:dyDescent="0.2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</row>
    <row r="82" spans="1:13" x14ac:dyDescent="0.25">
      <c r="A82" s="232" t="s">
        <v>203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</row>
    <row r="83" spans="1:13" ht="33" customHeight="1" x14ac:dyDescent="0.25">
      <c r="A83" s="232" t="s">
        <v>114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</row>
    <row r="84" spans="1:13" ht="14.45" customHeight="1" x14ac:dyDescent="0.25">
      <c r="C84" s="137" t="s">
        <v>115</v>
      </c>
      <c r="D84" s="242" t="s">
        <v>116</v>
      </c>
      <c r="E84" s="234"/>
      <c r="F84" s="235"/>
      <c r="G84" s="137" t="s">
        <v>117</v>
      </c>
      <c r="H84" s="138"/>
      <c r="I84" s="239" t="s">
        <v>118</v>
      </c>
      <c r="J84" s="240"/>
      <c r="M84" s="139"/>
    </row>
    <row r="85" spans="1:13" ht="14.45" customHeight="1" x14ac:dyDescent="0.25">
      <c r="C85" s="140" t="s">
        <v>119</v>
      </c>
      <c r="D85" s="233">
        <f>K14+L49</f>
        <v>2773881.25</v>
      </c>
      <c r="E85" s="236"/>
      <c r="F85" s="237"/>
      <c r="G85" s="141">
        <f>D85/D95*100</f>
        <v>5.9330389636752177</v>
      </c>
      <c r="H85" s="141"/>
      <c r="I85" s="142">
        <f>D85</f>
        <v>2773881.25</v>
      </c>
      <c r="J85" s="137"/>
      <c r="M85" s="133"/>
    </row>
    <row r="86" spans="1:13" ht="14.45" customHeight="1" x14ac:dyDescent="0.25">
      <c r="C86" s="140" t="s">
        <v>120</v>
      </c>
      <c r="D86" s="233">
        <f>K16+L34</f>
        <v>5260916.1237442894</v>
      </c>
      <c r="E86" s="236"/>
      <c r="F86" s="237"/>
      <c r="G86" s="141">
        <f>D86/D95*100</f>
        <v>11.252543830707266</v>
      </c>
      <c r="H86" s="141"/>
      <c r="I86" s="142">
        <f>D86</f>
        <v>5260916.1237442894</v>
      </c>
      <c r="J86" s="137"/>
      <c r="L86" s="133">
        <f>K76+L76</f>
        <v>46755190.901795328</v>
      </c>
    </row>
    <row r="87" spans="1:13" ht="14.45" customHeight="1" x14ac:dyDescent="0.25">
      <c r="C87" s="140" t="s">
        <v>121</v>
      </c>
      <c r="D87" s="233">
        <f>K17+L53</f>
        <v>7558669.5645357696</v>
      </c>
      <c r="E87" s="236"/>
      <c r="F87" s="237"/>
      <c r="G87" s="141">
        <f>D87/D95*100</f>
        <v>16.167195708156832</v>
      </c>
      <c r="H87" s="141"/>
      <c r="I87" s="142">
        <f>D87</f>
        <v>7558669.5645357696</v>
      </c>
      <c r="J87" s="137"/>
    </row>
    <row r="88" spans="1:13" ht="14.45" customHeight="1" x14ac:dyDescent="0.25">
      <c r="C88" s="140" t="s">
        <v>122</v>
      </c>
      <c r="D88" s="233">
        <f>L52</f>
        <v>956315.4</v>
      </c>
      <c r="E88" s="236"/>
      <c r="F88" s="237"/>
      <c r="G88" s="141">
        <f>D88/D95*100</f>
        <v>2.0454576163859395</v>
      </c>
      <c r="H88" s="141"/>
      <c r="I88" s="142">
        <f>D88</f>
        <v>956315.4</v>
      </c>
      <c r="J88" s="137"/>
      <c r="L88" s="133"/>
    </row>
    <row r="89" spans="1:13" ht="14.45" customHeight="1" x14ac:dyDescent="0.25">
      <c r="C89" s="140" t="s">
        <v>123</v>
      </c>
      <c r="D89" s="233">
        <f>K22+L58</f>
        <v>4398160.8602640703</v>
      </c>
      <c r="E89" s="236"/>
      <c r="F89" s="237"/>
      <c r="G89" s="141">
        <f>D89/D95*100</f>
        <v>9.4072014627367508</v>
      </c>
      <c r="H89" s="141"/>
      <c r="I89" s="137"/>
      <c r="J89" s="137"/>
    </row>
    <row r="90" spans="1:13" ht="14.45" customHeight="1" x14ac:dyDescent="0.25">
      <c r="C90" s="140" t="s">
        <v>124</v>
      </c>
      <c r="D90" s="233">
        <f>K20+L38+K26</f>
        <v>22381519.871297736</v>
      </c>
      <c r="E90" s="236"/>
      <c r="F90" s="237"/>
      <c r="G90" s="141">
        <f>D90/D95*100</f>
        <v>47.871706643058573</v>
      </c>
      <c r="H90" s="141"/>
      <c r="I90" s="137"/>
      <c r="J90" s="137"/>
    </row>
    <row r="91" spans="1:13" ht="14.45" customHeight="1" x14ac:dyDescent="0.25">
      <c r="C91" s="143" t="s">
        <v>125</v>
      </c>
      <c r="D91" s="233">
        <f>K26+L41</f>
        <v>1141965.6159999999</v>
      </c>
      <c r="E91" s="236"/>
      <c r="F91" s="237"/>
      <c r="G91" s="141">
        <f>D91/D95*100</f>
        <v>2.4425438165045352</v>
      </c>
      <c r="H91" s="141"/>
      <c r="I91" s="137"/>
      <c r="J91" s="137"/>
    </row>
    <row r="92" spans="1:13" ht="14.45" customHeight="1" x14ac:dyDescent="0.25">
      <c r="C92" s="143" t="s">
        <v>126</v>
      </c>
      <c r="D92" s="233">
        <f>L40</f>
        <v>501997</v>
      </c>
      <c r="E92" s="236"/>
      <c r="F92" s="237"/>
      <c r="G92" s="141">
        <f>D92/D95*100</f>
        <v>1.0737185525328701</v>
      </c>
      <c r="H92" s="141"/>
      <c r="I92" s="137"/>
      <c r="J92" s="137"/>
    </row>
    <row r="93" spans="1:13" ht="14.45" customHeight="1" x14ac:dyDescent="0.25">
      <c r="C93" s="140" t="s">
        <v>127</v>
      </c>
      <c r="D93" s="233">
        <f>L74</f>
        <v>550489</v>
      </c>
      <c r="E93" s="236"/>
      <c r="F93" s="237"/>
      <c r="G93" s="141">
        <f>D93/D95*100</f>
        <v>1.1774378178858977</v>
      </c>
      <c r="H93" s="141"/>
      <c r="I93" s="137"/>
      <c r="J93" s="137"/>
    </row>
    <row r="94" spans="1:13" ht="14.45" customHeight="1" x14ac:dyDescent="0.25">
      <c r="C94" s="140" t="s">
        <v>128</v>
      </c>
      <c r="D94" s="233">
        <f>K25+L46+K27</f>
        <v>2873175.070953466</v>
      </c>
      <c r="E94" s="234"/>
      <c r="F94" s="235"/>
      <c r="G94" s="141">
        <f>D94/D95*100</f>
        <v>6.1454179573935335</v>
      </c>
      <c r="H94" s="141"/>
      <c r="I94" s="137"/>
      <c r="J94" s="137"/>
    </row>
    <row r="95" spans="1:13" ht="14.45" customHeight="1" x14ac:dyDescent="0.25">
      <c r="C95" s="140" t="s">
        <v>129</v>
      </c>
      <c r="D95" s="233">
        <f>D85+D86+D87+D88+D89+D90+D93+D94</f>
        <v>46753127.140795328</v>
      </c>
      <c r="E95" s="234"/>
      <c r="F95" s="235"/>
      <c r="G95" s="142">
        <f>G85+G86+G87+G88+G89+G90+G93+G94</f>
        <v>100.00000000000001</v>
      </c>
      <c r="H95" s="142"/>
      <c r="I95" s="142">
        <f>I85+I86+I87+I88</f>
        <v>16549782.338280059</v>
      </c>
      <c r="J95" s="137">
        <f>I95/D95*100</f>
        <v>35.398236118925261</v>
      </c>
    </row>
    <row r="97" spans="6:12" x14ac:dyDescent="0.25">
      <c r="F97" s="133"/>
      <c r="K97" s="133"/>
    </row>
    <row r="98" spans="6:12" x14ac:dyDescent="0.25">
      <c r="F98" s="133"/>
      <c r="K98" s="133"/>
      <c r="L98" s="133"/>
    </row>
  </sheetData>
  <mergeCells count="89">
    <mergeCell ref="D95:F95"/>
    <mergeCell ref="I1:M1"/>
    <mergeCell ref="A4:M4"/>
    <mergeCell ref="A5:M5"/>
    <mergeCell ref="A6:M6"/>
    <mergeCell ref="A9:C11"/>
    <mergeCell ref="D9:D11"/>
    <mergeCell ref="E9:E11"/>
    <mergeCell ref="F9:F11"/>
    <mergeCell ref="G9:G11"/>
    <mergeCell ref="H9:H11"/>
    <mergeCell ref="A20:C20"/>
    <mergeCell ref="I9:J9"/>
    <mergeCell ref="K9:M9"/>
    <mergeCell ref="I10:J10"/>
    <mergeCell ref="K10:L10"/>
    <mergeCell ref="M10:M11"/>
    <mergeCell ref="A12:C12"/>
    <mergeCell ref="A13:C13"/>
    <mergeCell ref="A14:C14"/>
    <mergeCell ref="A15:C15"/>
    <mergeCell ref="A16:C17"/>
    <mergeCell ref="A18:C19"/>
    <mergeCell ref="A61:C61"/>
    <mergeCell ref="A28:C28"/>
    <mergeCell ref="A29:C29"/>
    <mergeCell ref="A30:C30"/>
    <mergeCell ref="A31:C31"/>
    <mergeCell ref="A33:C33"/>
    <mergeCell ref="A32:C32"/>
    <mergeCell ref="A21:C21"/>
    <mergeCell ref="A22:C22"/>
    <mergeCell ref="A23:C23"/>
    <mergeCell ref="A24:C24"/>
    <mergeCell ref="A25:C25"/>
    <mergeCell ref="A26:C26"/>
    <mergeCell ref="A27:C27"/>
    <mergeCell ref="A41:C41"/>
    <mergeCell ref="A45:C45"/>
    <mergeCell ref="A46:C46"/>
    <mergeCell ref="A34:A37"/>
    <mergeCell ref="B34:B37"/>
    <mergeCell ref="A40:C40"/>
    <mergeCell ref="A39:C39"/>
    <mergeCell ref="A43:C43"/>
    <mergeCell ref="A44:C44"/>
    <mergeCell ref="A38:C38"/>
    <mergeCell ref="A42:C42"/>
    <mergeCell ref="D87:F87"/>
    <mergeCell ref="D84:F84"/>
    <mergeCell ref="D85:F85"/>
    <mergeCell ref="D86:F86"/>
    <mergeCell ref="A81:M81"/>
    <mergeCell ref="A83:M83"/>
    <mergeCell ref="I84:J84"/>
    <mergeCell ref="A82:M82"/>
    <mergeCell ref="D94:F94"/>
    <mergeCell ref="D88:F88"/>
    <mergeCell ref="D89:F89"/>
    <mergeCell ref="D90:F90"/>
    <mergeCell ref="D91:F91"/>
    <mergeCell ref="D92:F92"/>
    <mergeCell ref="D93:F93"/>
    <mergeCell ref="A67:C67"/>
    <mergeCell ref="A70:C70"/>
    <mergeCell ref="A62:C62"/>
    <mergeCell ref="A80:M80"/>
    <mergeCell ref="A76:C76"/>
    <mergeCell ref="A74:C74"/>
    <mergeCell ref="A78:M78"/>
    <mergeCell ref="A79:M79"/>
    <mergeCell ref="A71:C71"/>
    <mergeCell ref="A68:C68"/>
    <mergeCell ref="A47:C47"/>
    <mergeCell ref="A75:C75"/>
    <mergeCell ref="A57:C57"/>
    <mergeCell ref="A59:C59"/>
    <mergeCell ref="A56:C56"/>
    <mergeCell ref="A55:C55"/>
    <mergeCell ref="A58:C58"/>
    <mergeCell ref="A48:C48"/>
    <mergeCell ref="A49:C49"/>
    <mergeCell ref="A54:C54"/>
    <mergeCell ref="A50:C53"/>
    <mergeCell ref="A60:C60"/>
    <mergeCell ref="A69:C69"/>
    <mergeCell ref="A72:C72"/>
    <mergeCell ref="A73:C73"/>
    <mergeCell ref="A63:C66"/>
  </mergeCells>
  <phoneticPr fontId="29" type="noConversion"/>
  <printOptions horizontalCentered="1"/>
  <pageMargins left="0.39370078740157483" right="0.39370078740157483" top="0.94488188976377963" bottom="0.39370078740157483" header="0.31496062992125984" footer="0.31496062992125984"/>
  <pageSetup paperSize="9" scale="60" fitToHeight="0" orientation="landscape" r:id="rId1"/>
  <headerFooter differentFirst="1">
    <oddHeader>&amp;C&amp;P</oddHeader>
  </headerFooter>
  <rowBreaks count="1" manualBreakCount="1">
    <brk id="48" max="1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O98"/>
  <sheetViews>
    <sheetView view="pageBreakPreview" topLeftCell="A58" zoomScale="60" zoomScaleNormal="80" workbookViewId="0">
      <selection activeCell="A4" sqref="A4:M4"/>
    </sheetView>
  </sheetViews>
  <sheetFormatPr defaultColWidth="9.140625" defaultRowHeight="15" x14ac:dyDescent="0.25"/>
  <cols>
    <col min="1" max="1" width="9.140625" style="61" customWidth="1"/>
    <col min="2" max="2" width="9.140625" style="61"/>
    <col min="3" max="3" width="51" style="61" customWidth="1"/>
    <col min="4" max="4" width="9" style="61" customWidth="1"/>
    <col min="5" max="5" width="17.7109375" style="61" customWidth="1"/>
    <col min="6" max="6" width="21.7109375" style="89" customWidth="1"/>
    <col min="7" max="7" width="18.7109375" style="89" customWidth="1"/>
    <col min="8" max="8" width="10.140625" style="89" customWidth="1"/>
    <col min="9" max="9" width="16.5703125" style="89" customWidth="1"/>
    <col min="10" max="10" width="13.42578125" style="89" customWidth="1"/>
    <col min="11" max="11" width="16.7109375" style="89" customWidth="1"/>
    <col min="12" max="12" width="18.28515625" style="89" customWidth="1"/>
    <col min="13" max="13" width="17.42578125" style="89" customWidth="1"/>
    <col min="14" max="14" width="17.140625" style="61" customWidth="1"/>
    <col min="15" max="15" width="15.5703125" style="61" customWidth="1"/>
    <col min="16" max="16384" width="9.140625" style="61"/>
  </cols>
  <sheetData>
    <row r="1" spans="1:15" s="86" customFormat="1" ht="94.9" customHeight="1" x14ac:dyDescent="0.25">
      <c r="F1" s="87"/>
      <c r="G1" s="87"/>
      <c r="H1" s="87"/>
      <c r="I1" s="327" t="s">
        <v>149</v>
      </c>
      <c r="J1" s="327"/>
      <c r="K1" s="327"/>
      <c r="L1" s="327"/>
      <c r="M1" s="327"/>
      <c r="N1" s="88"/>
    </row>
    <row r="3" spans="1:15" ht="14.25" customHeight="1" x14ac:dyDescent="0.3">
      <c r="M3" s="90"/>
    </row>
    <row r="4" spans="1:15" ht="20.25" x14ac:dyDescent="0.3">
      <c r="A4" s="328" t="s">
        <v>29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5" ht="20.25" x14ac:dyDescent="0.3">
      <c r="A5" s="328" t="s">
        <v>30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15" ht="20.25" x14ac:dyDescent="0.3">
      <c r="A6" s="328" t="s">
        <v>132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5" ht="3.6" customHeight="1" x14ac:dyDescent="0.3">
      <c r="A7" s="91"/>
      <c r="B7" s="91"/>
      <c r="C7" s="91"/>
      <c r="D7" s="91"/>
      <c r="E7" s="91"/>
      <c r="F7" s="92"/>
      <c r="G7" s="92"/>
      <c r="H7" s="92"/>
      <c r="I7" s="92"/>
      <c r="J7" s="92"/>
      <c r="K7" s="92"/>
      <c r="L7" s="92"/>
      <c r="M7" s="92"/>
    </row>
    <row r="8" spans="1:15" ht="15.6" x14ac:dyDescent="0.3">
      <c r="A8" s="93"/>
      <c r="B8" s="93"/>
      <c r="C8" s="93"/>
      <c r="D8" s="93"/>
      <c r="E8" s="93"/>
      <c r="F8" s="94"/>
      <c r="G8" s="94"/>
      <c r="H8" s="94"/>
      <c r="I8" s="94"/>
      <c r="J8" s="94"/>
      <c r="K8" s="94"/>
      <c r="L8" s="94"/>
      <c r="M8" s="94"/>
    </row>
    <row r="9" spans="1:15" ht="40.5" customHeight="1" x14ac:dyDescent="0.25">
      <c r="A9" s="310"/>
      <c r="B9" s="311"/>
      <c r="C9" s="312"/>
      <c r="D9" s="319" t="s">
        <v>31</v>
      </c>
      <c r="E9" s="319" t="s">
        <v>32</v>
      </c>
      <c r="F9" s="310" t="s">
        <v>33</v>
      </c>
      <c r="G9" s="310" t="s">
        <v>34</v>
      </c>
      <c r="H9" s="322" t="s">
        <v>35</v>
      </c>
      <c r="I9" s="325" t="s">
        <v>36</v>
      </c>
      <c r="J9" s="326"/>
      <c r="K9" s="224" t="s">
        <v>37</v>
      </c>
      <c r="L9" s="224"/>
      <c r="M9" s="224"/>
    </row>
    <row r="10" spans="1:15" ht="14.45" customHeight="1" x14ac:dyDescent="0.25">
      <c r="A10" s="313"/>
      <c r="B10" s="314"/>
      <c r="C10" s="315"/>
      <c r="D10" s="320"/>
      <c r="E10" s="320"/>
      <c r="F10" s="313"/>
      <c r="G10" s="313"/>
      <c r="H10" s="323"/>
      <c r="I10" s="325" t="s">
        <v>38</v>
      </c>
      <c r="J10" s="326"/>
      <c r="K10" s="224" t="s">
        <v>39</v>
      </c>
      <c r="L10" s="224"/>
      <c r="M10" s="299" t="s">
        <v>40</v>
      </c>
    </row>
    <row r="11" spans="1:15" ht="75" customHeight="1" x14ac:dyDescent="0.25">
      <c r="A11" s="316"/>
      <c r="B11" s="317"/>
      <c r="C11" s="318"/>
      <c r="D11" s="321"/>
      <c r="E11" s="321"/>
      <c r="F11" s="316"/>
      <c r="G11" s="316"/>
      <c r="H11" s="324"/>
      <c r="I11" s="144" t="s">
        <v>41</v>
      </c>
      <c r="J11" s="144" t="s">
        <v>42</v>
      </c>
      <c r="K11" s="95" t="s">
        <v>41</v>
      </c>
      <c r="L11" s="95" t="s">
        <v>43</v>
      </c>
      <c r="M11" s="300"/>
    </row>
    <row r="12" spans="1:15" ht="14.45" x14ac:dyDescent="0.3">
      <c r="A12" s="227"/>
      <c r="B12" s="227"/>
      <c r="C12" s="227"/>
      <c r="D12" s="96">
        <v>1</v>
      </c>
      <c r="E12" s="145">
        <v>2</v>
      </c>
      <c r="F12" s="146">
        <v>3</v>
      </c>
      <c r="G12" s="146">
        <v>4</v>
      </c>
      <c r="H12" s="146"/>
      <c r="I12" s="97">
        <v>5</v>
      </c>
      <c r="J12" s="97">
        <v>6</v>
      </c>
      <c r="K12" s="97">
        <v>7</v>
      </c>
      <c r="L12" s="97">
        <v>8</v>
      </c>
      <c r="M12" s="97">
        <v>9</v>
      </c>
    </row>
    <row r="13" spans="1:15" ht="45" customHeight="1" x14ac:dyDescent="0.25">
      <c r="A13" s="301" t="s">
        <v>44</v>
      </c>
      <c r="B13" s="302"/>
      <c r="C13" s="303"/>
      <c r="D13" s="98" t="s">
        <v>10</v>
      </c>
      <c r="E13" s="98"/>
      <c r="F13" s="70" t="s">
        <v>45</v>
      </c>
      <c r="G13" s="70" t="s">
        <v>45</v>
      </c>
      <c r="H13" s="65">
        <v>3.3929999999999998</v>
      </c>
      <c r="I13" s="85">
        <f>K13/N13*1000</f>
        <v>9495.5418784167359</v>
      </c>
      <c r="J13" s="70" t="s">
        <v>45</v>
      </c>
      <c r="K13" s="99">
        <f>K14+K16+K17+K20+K22+K24+K25+K26+K18+K21</f>
        <v>9198806.1947162133</v>
      </c>
      <c r="L13" s="70" t="s">
        <v>45</v>
      </c>
      <c r="M13" s="99">
        <f>ROUND(K13/(K76+L76)*100,2)</f>
        <v>18.809999999999999</v>
      </c>
      <c r="N13" s="61">
        <v>968750</v>
      </c>
      <c r="O13" s="61" t="s">
        <v>46</v>
      </c>
    </row>
    <row r="14" spans="1:15" ht="33" customHeight="1" x14ac:dyDescent="0.25">
      <c r="A14" s="304" t="s">
        <v>47</v>
      </c>
      <c r="B14" s="305"/>
      <c r="C14" s="306"/>
      <c r="D14" s="62" t="s">
        <v>12</v>
      </c>
      <c r="E14" s="62" t="s">
        <v>48</v>
      </c>
      <c r="F14" s="100">
        <f>1300/N13+F15</f>
        <v>3.92258064516129E-3</v>
      </c>
      <c r="G14" s="85">
        <f>I14/F14</f>
        <v>201668.0921052632</v>
      </c>
      <c r="H14" s="65">
        <v>3.3929999999999998</v>
      </c>
      <c r="I14" s="85">
        <f>K14/N13*1000</f>
        <v>791.05935483870974</v>
      </c>
      <c r="J14" s="70" t="s">
        <v>45</v>
      </c>
      <c r="K14" s="85">
        <v>766338.75</v>
      </c>
      <c r="L14" s="70" t="s">
        <v>45</v>
      </c>
      <c r="M14" s="70" t="s">
        <v>45</v>
      </c>
      <c r="N14" s="101"/>
      <c r="O14" s="102"/>
    </row>
    <row r="15" spans="1:15" ht="15" customHeight="1" x14ac:dyDescent="0.25">
      <c r="A15" s="307" t="s">
        <v>49</v>
      </c>
      <c r="B15" s="308"/>
      <c r="C15" s="309"/>
      <c r="D15" s="62" t="s">
        <v>14</v>
      </c>
      <c r="E15" s="103" t="s">
        <v>48</v>
      </c>
      <c r="F15" s="100">
        <f>2500/N13</f>
        <v>2.5806451612903226E-3</v>
      </c>
      <c r="G15" s="85">
        <f>G49</f>
        <v>7415.7100000000009</v>
      </c>
      <c r="H15" s="65">
        <v>3.3929999999999998</v>
      </c>
      <c r="I15" s="85">
        <f>G15*F15</f>
        <v>19.137316129032261</v>
      </c>
      <c r="J15" s="70" t="s">
        <v>45</v>
      </c>
      <c r="K15" s="85">
        <f>I15*N13/1000</f>
        <v>18539.275000000005</v>
      </c>
      <c r="L15" s="70" t="s">
        <v>45</v>
      </c>
      <c r="M15" s="70" t="s">
        <v>45</v>
      </c>
    </row>
    <row r="16" spans="1:15" ht="54.75" customHeight="1" x14ac:dyDescent="0.25">
      <c r="A16" s="282" t="s">
        <v>50</v>
      </c>
      <c r="B16" s="263"/>
      <c r="C16" s="264"/>
      <c r="D16" s="62" t="s">
        <v>15</v>
      </c>
      <c r="E16" s="63" t="s">
        <v>51</v>
      </c>
      <c r="F16" s="65">
        <v>0.73</v>
      </c>
      <c r="G16" s="85">
        <f>475.5*H16</f>
        <v>1613.3715</v>
      </c>
      <c r="H16" s="65">
        <v>3.3929999999999998</v>
      </c>
      <c r="I16" s="85">
        <f>G16*F16</f>
        <v>1177.761195</v>
      </c>
      <c r="J16" s="70" t="s">
        <v>45</v>
      </c>
      <c r="K16" s="85">
        <f>I16*N13/1000</f>
        <v>1140956.1576562501</v>
      </c>
      <c r="L16" s="70" t="s">
        <v>45</v>
      </c>
      <c r="M16" s="70" t="s">
        <v>45</v>
      </c>
    </row>
    <row r="17" spans="1:15" x14ac:dyDescent="0.25">
      <c r="A17" s="283"/>
      <c r="B17" s="269"/>
      <c r="C17" s="270"/>
      <c r="D17" s="62" t="s">
        <v>17</v>
      </c>
      <c r="E17" s="63" t="s">
        <v>52</v>
      </c>
      <c r="F17" s="65">
        <v>0.14399999999999999</v>
      </c>
      <c r="G17" s="85">
        <f>1378.9*H17</f>
        <v>4678.6077000000005</v>
      </c>
      <c r="H17" s="65">
        <v>3.3929999999999998</v>
      </c>
      <c r="I17" s="85">
        <f>G17*F17</f>
        <v>673.71950879999997</v>
      </c>
      <c r="J17" s="70" t="s">
        <v>45</v>
      </c>
      <c r="K17" s="85">
        <f>I17*N13/1000</f>
        <v>652665.77414999995</v>
      </c>
      <c r="L17" s="70" t="s">
        <v>45</v>
      </c>
      <c r="M17" s="70" t="s">
        <v>45</v>
      </c>
    </row>
    <row r="18" spans="1:15" ht="45" customHeight="1" x14ac:dyDescent="0.25">
      <c r="A18" s="284" t="s">
        <v>49</v>
      </c>
      <c r="B18" s="285"/>
      <c r="C18" s="286"/>
      <c r="D18" s="62" t="s">
        <v>18</v>
      </c>
      <c r="E18" s="103" t="s">
        <v>51</v>
      </c>
      <c r="F18" s="100">
        <f>1400/N13</f>
        <v>1.4451612903225806E-3</v>
      </c>
      <c r="G18" s="85">
        <f>G50</f>
        <v>1531.0500000000002</v>
      </c>
      <c r="H18" s="65">
        <v>3.3929999999999998</v>
      </c>
      <c r="I18" s="85">
        <f>F18*G18</f>
        <v>2.2126141935483874</v>
      </c>
      <c r="J18" s="70" t="s">
        <v>45</v>
      </c>
      <c r="K18" s="85">
        <f>I18*N13/1000</f>
        <v>2143.4700000000003</v>
      </c>
      <c r="L18" s="70" t="s">
        <v>45</v>
      </c>
      <c r="M18" s="70" t="s">
        <v>45</v>
      </c>
    </row>
    <row r="19" spans="1:15" ht="25.5" customHeight="1" x14ac:dyDescent="0.25">
      <c r="A19" s="287"/>
      <c r="B19" s="288"/>
      <c r="C19" s="289"/>
      <c r="D19" s="62" t="s">
        <v>19</v>
      </c>
      <c r="E19" s="103" t="s">
        <v>52</v>
      </c>
      <c r="F19" s="65"/>
      <c r="G19" s="85"/>
      <c r="H19" s="65">
        <v>3.3929999999999998</v>
      </c>
      <c r="I19" s="85"/>
      <c r="J19" s="70" t="s">
        <v>45</v>
      </c>
      <c r="K19" s="85"/>
      <c r="L19" s="70" t="s">
        <v>45</v>
      </c>
      <c r="M19" s="70" t="s">
        <v>45</v>
      </c>
    </row>
    <row r="20" spans="1:15" ht="37.5" customHeight="1" x14ac:dyDescent="0.25">
      <c r="A20" s="261" t="s">
        <v>53</v>
      </c>
      <c r="B20" s="256"/>
      <c r="C20" s="257"/>
      <c r="D20" s="62" t="s">
        <v>20</v>
      </c>
      <c r="E20" s="63" t="s">
        <v>54</v>
      </c>
      <c r="F20" s="100">
        <v>1.46E-2</v>
      </c>
      <c r="G20" s="85">
        <f>81569.4*H20</f>
        <v>276764.97419999994</v>
      </c>
      <c r="H20" s="65">
        <v>3.3929999999999998</v>
      </c>
      <c r="I20" s="85">
        <f>G20*F20</f>
        <v>4040.7686233199993</v>
      </c>
      <c r="J20" s="70" t="s">
        <v>45</v>
      </c>
      <c r="K20" s="85">
        <f>I20*N13/1000</f>
        <v>3914494.6038412494</v>
      </c>
      <c r="L20" s="70" t="s">
        <v>45</v>
      </c>
      <c r="M20" s="70" t="s">
        <v>45</v>
      </c>
    </row>
    <row r="21" spans="1:15" ht="35.25" customHeight="1" x14ac:dyDescent="0.25">
      <c r="A21" s="293" t="s">
        <v>49</v>
      </c>
      <c r="B21" s="294"/>
      <c r="C21" s="295"/>
      <c r="D21" s="62" t="s">
        <v>22</v>
      </c>
      <c r="E21" s="103" t="s">
        <v>54</v>
      </c>
      <c r="F21" s="104">
        <f>180/N13</f>
        <v>1.8580645161290322E-4</v>
      </c>
      <c r="G21" s="85">
        <f>G54</f>
        <v>102438.78167728196</v>
      </c>
      <c r="H21" s="65">
        <v>3.3929999999999998</v>
      </c>
      <c r="I21" s="85">
        <f>G21*F21</f>
        <v>19.033786531004647</v>
      </c>
      <c r="J21" s="70" t="s">
        <v>45</v>
      </c>
      <c r="K21" s="85">
        <f>I21*N13/1000</f>
        <v>18438.980701910754</v>
      </c>
      <c r="L21" s="70" t="s">
        <v>45</v>
      </c>
      <c r="M21" s="70" t="s">
        <v>45</v>
      </c>
    </row>
    <row r="22" spans="1:15" ht="15" customHeight="1" x14ac:dyDescent="0.25">
      <c r="A22" s="261" t="s">
        <v>55</v>
      </c>
      <c r="B22" s="256"/>
      <c r="C22" s="257"/>
      <c r="D22" s="62" t="s">
        <v>23</v>
      </c>
      <c r="E22" s="63" t="s">
        <v>56</v>
      </c>
      <c r="F22" s="65">
        <v>4.0000000000000001E-3</v>
      </c>
      <c r="G22" s="85">
        <f>14082.9*H22</f>
        <v>47783.279699999999</v>
      </c>
      <c r="H22" s="65">
        <v>3.3929999999999998</v>
      </c>
      <c r="I22" s="85">
        <f>G22*F22</f>
        <v>191.13311880000001</v>
      </c>
      <c r="J22" s="70" t="s">
        <v>45</v>
      </c>
      <c r="K22" s="85">
        <f>I22*N13/1000</f>
        <v>185160.20883750002</v>
      </c>
      <c r="L22" s="70" t="s">
        <v>45</v>
      </c>
      <c r="M22" s="70" t="s">
        <v>45</v>
      </c>
    </row>
    <row r="23" spans="1:15" ht="18" customHeight="1" x14ac:dyDescent="0.25">
      <c r="A23" s="293" t="s">
        <v>49</v>
      </c>
      <c r="B23" s="294"/>
      <c r="C23" s="295"/>
      <c r="D23" s="62" t="s">
        <v>57</v>
      </c>
      <c r="E23" s="103" t="s">
        <v>56</v>
      </c>
      <c r="F23" s="65"/>
      <c r="G23" s="85"/>
      <c r="H23" s="65">
        <v>3.3929999999999998</v>
      </c>
      <c r="I23" s="85"/>
      <c r="J23" s="70" t="s">
        <v>45</v>
      </c>
      <c r="K23" s="85"/>
      <c r="L23" s="70" t="s">
        <v>45</v>
      </c>
      <c r="M23" s="70" t="s">
        <v>45</v>
      </c>
    </row>
    <row r="24" spans="1:15" ht="14.45" customHeight="1" x14ac:dyDescent="0.25">
      <c r="A24" s="261" t="s">
        <v>58</v>
      </c>
      <c r="B24" s="256"/>
      <c r="C24" s="257"/>
      <c r="D24" s="62" t="s">
        <v>59</v>
      </c>
      <c r="E24" s="63" t="s">
        <v>60</v>
      </c>
      <c r="F24" s="105"/>
      <c r="G24" s="85"/>
      <c r="H24" s="65">
        <v>3.3929999999999998</v>
      </c>
      <c r="I24" s="85"/>
      <c r="J24" s="70" t="s">
        <v>45</v>
      </c>
      <c r="K24" s="85"/>
      <c r="L24" s="70" t="s">
        <v>45</v>
      </c>
      <c r="M24" s="70" t="s">
        <v>45</v>
      </c>
    </row>
    <row r="25" spans="1:15" ht="14.45" customHeight="1" x14ac:dyDescent="0.25">
      <c r="A25" s="261" t="s">
        <v>61</v>
      </c>
      <c r="B25" s="256"/>
      <c r="C25" s="257"/>
      <c r="D25" s="62" t="s">
        <v>62</v>
      </c>
      <c r="E25" s="62" t="s">
        <v>63</v>
      </c>
      <c r="F25" s="67"/>
      <c r="G25" s="60"/>
      <c r="H25" s="65">
        <v>3.3929999999999998</v>
      </c>
      <c r="I25" s="85">
        <f>K25/N13*1000</f>
        <v>2261.370253965732</v>
      </c>
      <c r="J25" s="70" t="s">
        <v>45</v>
      </c>
      <c r="K25" s="85">
        <f>'не нужно'!I67</f>
        <v>2190702.4335293029</v>
      </c>
      <c r="L25" s="70" t="s">
        <v>45</v>
      </c>
      <c r="M25" s="70" t="s">
        <v>45</v>
      </c>
      <c r="N25" s="102"/>
      <c r="O25" s="102"/>
    </row>
    <row r="26" spans="1:15" ht="38.25" customHeight="1" x14ac:dyDescent="0.25">
      <c r="A26" s="261" t="s">
        <v>64</v>
      </c>
      <c r="B26" s="256"/>
      <c r="C26" s="257"/>
      <c r="D26" s="62" t="s">
        <v>65</v>
      </c>
      <c r="E26" s="63" t="s">
        <v>54</v>
      </c>
      <c r="F26" s="100">
        <f>1366/N13</f>
        <v>1.4100645161290322E-3</v>
      </c>
      <c r="G26" s="85">
        <f>I26/F26</f>
        <v>240048.1815519766</v>
      </c>
      <c r="H26" s="65">
        <v>3.3929999999999998</v>
      </c>
      <c r="I26" s="85">
        <f>K26/N13*1000</f>
        <v>338.48342296774194</v>
      </c>
      <c r="J26" s="70" t="s">
        <v>45</v>
      </c>
      <c r="K26" s="85">
        <f>прил8!K26</f>
        <v>327905.81599999999</v>
      </c>
      <c r="L26" s="70" t="s">
        <v>45</v>
      </c>
      <c r="M26" s="70" t="s">
        <v>45</v>
      </c>
    </row>
    <row r="27" spans="1:15" ht="42" customHeight="1" x14ac:dyDescent="0.25">
      <c r="A27" s="296" t="s">
        <v>66</v>
      </c>
      <c r="B27" s="297"/>
      <c r="C27" s="298"/>
      <c r="D27" s="98" t="s">
        <v>67</v>
      </c>
      <c r="E27" s="98"/>
      <c r="F27" s="70"/>
      <c r="G27" s="106"/>
      <c r="H27" s="65">
        <v>3.3929999999999998</v>
      </c>
      <c r="I27" s="85">
        <f>K27/N13*1000</f>
        <v>15.483870967741936</v>
      </c>
      <c r="J27" s="70" t="s">
        <v>45</v>
      </c>
      <c r="K27" s="99">
        <f>SUM(K28:K31)</f>
        <v>15000</v>
      </c>
      <c r="L27" s="70" t="s">
        <v>45</v>
      </c>
      <c r="M27" s="107">
        <f>K27/(K76+L76)*100</f>
        <v>3.0677322834827273E-2</v>
      </c>
    </row>
    <row r="28" spans="1:15" ht="15" customHeight="1" x14ac:dyDescent="0.25">
      <c r="A28" s="261" t="s">
        <v>68</v>
      </c>
      <c r="B28" s="256"/>
      <c r="C28" s="257"/>
      <c r="D28" s="62" t="s">
        <v>69</v>
      </c>
      <c r="E28" s="62" t="s">
        <v>63</v>
      </c>
      <c r="F28" s="67"/>
      <c r="G28" s="60"/>
      <c r="H28" s="65">
        <v>3.3929999999999998</v>
      </c>
      <c r="I28" s="85">
        <f>K28/N13*1000</f>
        <v>0</v>
      </c>
      <c r="J28" s="70" t="s">
        <v>45</v>
      </c>
      <c r="K28" s="85">
        <v>0</v>
      </c>
      <c r="L28" s="70" t="s">
        <v>45</v>
      </c>
      <c r="M28" s="70" t="s">
        <v>45</v>
      </c>
    </row>
    <row r="29" spans="1:15" ht="15" customHeight="1" x14ac:dyDescent="0.25">
      <c r="A29" s="261" t="s">
        <v>70</v>
      </c>
      <c r="B29" s="256"/>
      <c r="C29" s="257"/>
      <c r="D29" s="62" t="s">
        <v>71</v>
      </c>
      <c r="E29" s="62" t="s">
        <v>63</v>
      </c>
      <c r="F29" s="67"/>
      <c r="G29" s="60"/>
      <c r="H29" s="65">
        <v>3.3929999999999998</v>
      </c>
      <c r="I29" s="85">
        <f>K29/N13*1000</f>
        <v>0</v>
      </c>
      <c r="J29" s="70" t="s">
        <v>45</v>
      </c>
      <c r="K29" s="85"/>
      <c r="L29" s="70" t="s">
        <v>45</v>
      </c>
      <c r="M29" s="70" t="s">
        <v>45</v>
      </c>
    </row>
    <row r="30" spans="1:15" ht="19.899999999999999" customHeight="1" x14ac:dyDescent="0.25">
      <c r="A30" s="261" t="s">
        <v>72</v>
      </c>
      <c r="B30" s="256"/>
      <c r="C30" s="257"/>
      <c r="D30" s="62" t="s">
        <v>73</v>
      </c>
      <c r="E30" s="63" t="s">
        <v>63</v>
      </c>
      <c r="F30" s="67"/>
      <c r="G30" s="60"/>
      <c r="H30" s="65">
        <v>3.3929999999999998</v>
      </c>
      <c r="I30" s="85">
        <f>K30/957400*1000</f>
        <v>0</v>
      </c>
      <c r="J30" s="70" t="s">
        <v>45</v>
      </c>
      <c r="K30" s="85">
        <v>0</v>
      </c>
      <c r="L30" s="70" t="s">
        <v>45</v>
      </c>
      <c r="M30" s="70" t="s">
        <v>45</v>
      </c>
    </row>
    <row r="31" spans="1:15" ht="25.5" customHeight="1" thickBot="1" x14ac:dyDescent="0.3">
      <c r="A31" s="261" t="s">
        <v>74</v>
      </c>
      <c r="B31" s="256"/>
      <c r="C31" s="257"/>
      <c r="D31" s="62" t="s">
        <v>75</v>
      </c>
      <c r="E31" s="63" t="s">
        <v>63</v>
      </c>
      <c r="F31" s="67"/>
      <c r="G31" s="60"/>
      <c r="H31" s="65">
        <v>3.3929999999999998</v>
      </c>
      <c r="I31" s="85">
        <f>K31/N13*1000</f>
        <v>15.483870967741936</v>
      </c>
      <c r="J31" s="70" t="s">
        <v>45</v>
      </c>
      <c r="K31" s="85">
        <v>15000</v>
      </c>
      <c r="L31" s="70" t="s">
        <v>45</v>
      </c>
      <c r="M31" s="70" t="s">
        <v>45</v>
      </c>
    </row>
    <row r="32" spans="1:15" ht="15" customHeight="1" x14ac:dyDescent="0.25">
      <c r="A32" s="290" t="s">
        <v>76</v>
      </c>
      <c r="B32" s="291"/>
      <c r="C32" s="292"/>
      <c r="D32" s="153" t="s">
        <v>77</v>
      </c>
      <c r="E32" s="153"/>
      <c r="F32" s="154"/>
      <c r="G32" s="155"/>
      <c r="H32" s="156">
        <v>2.95</v>
      </c>
      <c r="I32" s="154" t="s">
        <v>45</v>
      </c>
      <c r="J32" s="157">
        <f>L32/974393*1000</f>
        <v>40725.094186842485</v>
      </c>
      <c r="K32" s="154" t="s">
        <v>45</v>
      </c>
      <c r="L32" s="158">
        <f>L46+L48+L61</f>
        <v>39682246.70000001</v>
      </c>
      <c r="M32" s="159">
        <f>ROUND(L32/(K76+L76)*100,2)</f>
        <v>81.16</v>
      </c>
      <c r="N32" s="127"/>
    </row>
    <row r="33" spans="1:14" ht="15" customHeight="1" x14ac:dyDescent="0.25">
      <c r="A33" s="275" t="s">
        <v>78</v>
      </c>
      <c r="B33" s="244"/>
      <c r="C33" s="245"/>
      <c r="D33" s="98" t="s">
        <v>79</v>
      </c>
      <c r="E33" s="98" t="s">
        <v>48</v>
      </c>
      <c r="F33" s="112">
        <f>J33/G33</f>
        <v>0.28999999791460224</v>
      </c>
      <c r="G33" s="113">
        <f>G49</f>
        <v>7415.7100000000009</v>
      </c>
      <c r="H33" s="108">
        <v>2.95</v>
      </c>
      <c r="I33" s="70" t="s">
        <v>45</v>
      </c>
      <c r="J33" s="99">
        <f t="shared" ref="J33:J45" si="0">L33/974393*1000</f>
        <v>2150.5558845352953</v>
      </c>
      <c r="K33" s="70" t="s">
        <v>45</v>
      </c>
      <c r="L33" s="114">
        <f t="shared" ref="L33:L38" si="1">L49+L62</f>
        <v>2095486.6</v>
      </c>
      <c r="M33" s="160" t="s">
        <v>45</v>
      </c>
      <c r="N33" s="127"/>
    </row>
    <row r="34" spans="1:14" ht="38.25" x14ac:dyDescent="0.25">
      <c r="A34" s="276" t="s">
        <v>130</v>
      </c>
      <c r="B34" s="279" t="s">
        <v>80</v>
      </c>
      <c r="C34" s="161" t="s">
        <v>81</v>
      </c>
      <c r="D34" s="98" t="s">
        <v>82</v>
      </c>
      <c r="E34" s="116" t="s">
        <v>83</v>
      </c>
      <c r="F34" s="112">
        <f>F50+F63</f>
        <v>2.92</v>
      </c>
      <c r="G34" s="113">
        <f t="shared" ref="G34:G42" si="2">J34/F34</f>
        <v>1531.0500155565765</v>
      </c>
      <c r="H34" s="108">
        <v>2.95</v>
      </c>
      <c r="I34" s="70" t="s">
        <v>45</v>
      </c>
      <c r="J34" s="99">
        <f>L34/974393*1000</f>
        <v>4470.6660454252033</v>
      </c>
      <c r="K34" s="70" t="s">
        <v>45</v>
      </c>
      <c r="L34" s="109">
        <f t="shared" si="1"/>
        <v>4356185.7</v>
      </c>
      <c r="M34" s="160" t="s">
        <v>45</v>
      </c>
    </row>
    <row r="35" spans="1:14" ht="83.25" customHeight="1" x14ac:dyDescent="0.25">
      <c r="A35" s="277"/>
      <c r="B35" s="280"/>
      <c r="C35" s="162" t="s">
        <v>159</v>
      </c>
      <c r="D35" s="62" t="s">
        <v>160</v>
      </c>
      <c r="E35" s="117" t="s">
        <v>173</v>
      </c>
      <c r="F35" s="118">
        <f>F51+F64</f>
        <v>0.82599999999999996</v>
      </c>
      <c r="G35" s="85">
        <f t="shared" si="2"/>
        <v>3223.1699750523767</v>
      </c>
      <c r="H35" s="65">
        <v>2.95</v>
      </c>
      <c r="I35" s="67" t="s">
        <v>45</v>
      </c>
      <c r="J35" s="119">
        <f>L35/974393*1000</f>
        <v>2662.338399393263</v>
      </c>
      <c r="K35" s="67" t="s">
        <v>45</v>
      </c>
      <c r="L35" s="120">
        <f t="shared" si="1"/>
        <v>2594163.9</v>
      </c>
      <c r="M35" s="163" t="s">
        <v>45</v>
      </c>
    </row>
    <row r="36" spans="1:14" ht="51" x14ac:dyDescent="0.25">
      <c r="A36" s="277"/>
      <c r="B36" s="280"/>
      <c r="C36" s="161" t="s">
        <v>84</v>
      </c>
      <c r="D36" s="98" t="s">
        <v>85</v>
      </c>
      <c r="E36" s="116" t="s">
        <v>86</v>
      </c>
      <c r="F36" s="112">
        <f>F52+F65</f>
        <v>0.54</v>
      </c>
      <c r="G36" s="113">
        <f t="shared" si="2"/>
        <v>1917.4999394684878</v>
      </c>
      <c r="H36" s="108">
        <v>2.95</v>
      </c>
      <c r="I36" s="70" t="s">
        <v>45</v>
      </c>
      <c r="J36" s="99">
        <f>L36/974393*1000</f>
        <v>1035.4499673129835</v>
      </c>
      <c r="K36" s="70" t="s">
        <v>45</v>
      </c>
      <c r="L36" s="109">
        <f t="shared" si="1"/>
        <v>1008935.2</v>
      </c>
      <c r="M36" s="160" t="s">
        <v>45</v>
      </c>
    </row>
    <row r="37" spans="1:14" x14ac:dyDescent="0.25">
      <c r="A37" s="278"/>
      <c r="B37" s="281"/>
      <c r="C37" s="161" t="s">
        <v>87</v>
      </c>
      <c r="D37" s="98" t="s">
        <v>88</v>
      </c>
      <c r="E37" s="116" t="s">
        <v>52</v>
      </c>
      <c r="F37" s="112">
        <f>F53+F66</f>
        <v>1.77</v>
      </c>
      <c r="G37" s="113">
        <f t="shared" si="2"/>
        <v>4186.6400024060176</v>
      </c>
      <c r="H37" s="108">
        <v>2.95</v>
      </c>
      <c r="I37" s="70" t="s">
        <v>45</v>
      </c>
      <c r="J37" s="99">
        <f t="shared" si="0"/>
        <v>7410.3528042586513</v>
      </c>
      <c r="K37" s="70" t="s">
        <v>45</v>
      </c>
      <c r="L37" s="109">
        <f t="shared" si="1"/>
        <v>7220595.9000000004</v>
      </c>
      <c r="M37" s="160" t="s">
        <v>45</v>
      </c>
    </row>
    <row r="38" spans="1:14" ht="36.75" customHeight="1" x14ac:dyDescent="0.25">
      <c r="A38" s="275" t="s">
        <v>195</v>
      </c>
      <c r="B38" s="244"/>
      <c r="C38" s="245"/>
      <c r="D38" s="98" t="s">
        <v>89</v>
      </c>
      <c r="E38" s="121" t="s">
        <v>54</v>
      </c>
      <c r="F38" s="112">
        <f>F54+F67</f>
        <v>0.19500000000000001</v>
      </c>
      <c r="G38" s="113">
        <f t="shared" si="2"/>
        <v>102438.78167728196</v>
      </c>
      <c r="H38" s="108">
        <v>2.95</v>
      </c>
      <c r="I38" s="70" t="s">
        <v>45</v>
      </c>
      <c r="J38" s="99">
        <f t="shared" si="0"/>
        <v>19975.562427069985</v>
      </c>
      <c r="K38" s="70" t="s">
        <v>45</v>
      </c>
      <c r="L38" s="109">
        <f t="shared" si="1"/>
        <v>19464048.200000003</v>
      </c>
      <c r="M38" s="160" t="s">
        <v>45</v>
      </c>
    </row>
    <row r="39" spans="1:14" ht="37.5" customHeight="1" x14ac:dyDescent="0.25">
      <c r="A39" s="252" t="s">
        <v>164</v>
      </c>
      <c r="B39" s="253"/>
      <c r="C39" s="254"/>
      <c r="D39" s="164" t="s">
        <v>90</v>
      </c>
      <c r="E39" s="164" t="str">
        <f t="shared" ref="E39:M39" si="3">E55</f>
        <v>случай госпитализации</v>
      </c>
      <c r="F39" s="164">
        <f t="shared" si="3"/>
        <v>1.076E-2</v>
      </c>
      <c r="G39" s="164">
        <f t="shared" si="3"/>
        <v>324179.04000000004</v>
      </c>
      <c r="H39" s="164">
        <f t="shared" si="3"/>
        <v>2.95</v>
      </c>
      <c r="I39" s="164" t="str">
        <f t="shared" si="3"/>
        <v>Х</v>
      </c>
      <c r="J39" s="164">
        <f t="shared" si="3"/>
        <v>3488.1664704000004</v>
      </c>
      <c r="K39" s="164" t="str">
        <f t="shared" si="3"/>
        <v>Х</v>
      </c>
      <c r="L39" s="164">
        <f t="shared" si="3"/>
        <v>3398845</v>
      </c>
      <c r="M39" s="166" t="str">
        <f t="shared" si="3"/>
        <v>Х</v>
      </c>
    </row>
    <row r="40" spans="1:14" ht="33.75" customHeight="1" x14ac:dyDescent="0.25">
      <c r="A40" s="252" t="s">
        <v>175</v>
      </c>
      <c r="B40" s="253"/>
      <c r="C40" s="254"/>
      <c r="D40" s="62" t="s">
        <v>91</v>
      </c>
      <c r="E40" s="63" t="s">
        <v>54</v>
      </c>
      <c r="F40" s="118">
        <f>F56+F69</f>
        <v>5.0000000000000001E-3</v>
      </c>
      <c r="G40" s="85">
        <f t="shared" si="2"/>
        <v>104858.5119145971</v>
      </c>
      <c r="H40" s="65">
        <v>2.95</v>
      </c>
      <c r="I40" s="67" t="s">
        <v>45</v>
      </c>
      <c r="J40" s="119">
        <f>L40/974393*1000</f>
        <v>524.29255957298551</v>
      </c>
      <c r="K40" s="67" t="s">
        <v>45</v>
      </c>
      <c r="L40" s="120">
        <f>L56+L69</f>
        <v>510867</v>
      </c>
      <c r="M40" s="163" t="s">
        <v>45</v>
      </c>
    </row>
    <row r="41" spans="1:14" ht="37.5" customHeight="1" x14ac:dyDescent="0.25">
      <c r="A41" s="249" t="s">
        <v>176</v>
      </c>
      <c r="B41" s="250"/>
      <c r="C41" s="251"/>
      <c r="D41" s="62" t="s">
        <v>174</v>
      </c>
      <c r="E41" s="63" t="s">
        <v>54</v>
      </c>
      <c r="F41" s="125">
        <f>F57</f>
        <v>3.3200156405064486E-3</v>
      </c>
      <c r="G41" s="85">
        <f t="shared" si="2"/>
        <v>251641.36012364761</v>
      </c>
      <c r="H41" s="65">
        <v>2.95</v>
      </c>
      <c r="I41" s="67" t="s">
        <v>45</v>
      </c>
      <c r="J41" s="119">
        <f>L41/974393*1000</f>
        <v>835.45325140882585</v>
      </c>
      <c r="K41" s="67" t="s">
        <v>45</v>
      </c>
      <c r="L41" s="120">
        <f>L57+L68</f>
        <v>814059.8</v>
      </c>
      <c r="M41" s="163" t="s">
        <v>45</v>
      </c>
    </row>
    <row r="42" spans="1:14" x14ac:dyDescent="0.25">
      <c r="A42" s="274" t="s">
        <v>197</v>
      </c>
      <c r="B42" s="244"/>
      <c r="C42" s="245"/>
      <c r="D42" s="98" t="s">
        <v>92</v>
      </c>
      <c r="E42" s="121" t="s">
        <v>56</v>
      </c>
      <c r="F42" s="112">
        <f>F58+F71</f>
        <v>7.4800000000000005E-2</v>
      </c>
      <c r="G42" s="113">
        <f t="shared" si="2"/>
        <v>62378.33951976167</v>
      </c>
      <c r="H42" s="108">
        <v>2.95</v>
      </c>
      <c r="I42" s="70" t="s">
        <v>45</v>
      </c>
      <c r="J42" s="99">
        <f t="shared" si="0"/>
        <v>4665.8997960781735</v>
      </c>
      <c r="K42" s="70" t="s">
        <v>45</v>
      </c>
      <c r="L42" s="109">
        <f>L58+L73</f>
        <v>4546420.0999999996</v>
      </c>
      <c r="M42" s="160" t="s">
        <v>45</v>
      </c>
    </row>
    <row r="43" spans="1:14" ht="25.5" customHeight="1" x14ac:dyDescent="0.25">
      <c r="A43" s="252" t="s">
        <v>177</v>
      </c>
      <c r="B43" s="253"/>
      <c r="C43" s="254"/>
      <c r="D43" s="164" t="s">
        <v>145</v>
      </c>
      <c r="E43" s="167" t="str">
        <f>E59</f>
        <v>случай лечения</v>
      </c>
      <c r="F43" s="167">
        <f>F59+F72</f>
        <v>6.6800000000000002E-3</v>
      </c>
      <c r="G43" s="167">
        <f>G59+G72</f>
        <v>229613.25</v>
      </c>
      <c r="H43" s="167">
        <f>H59</f>
        <v>2.95</v>
      </c>
      <c r="I43" s="167" t="str">
        <f>I59</f>
        <v>Х</v>
      </c>
      <c r="J43" s="119">
        <f t="shared" si="0"/>
        <v>1533.8165401434535</v>
      </c>
      <c r="K43" s="167" t="str">
        <f>K59</f>
        <v>Х</v>
      </c>
      <c r="L43" s="167">
        <f>L59+L72</f>
        <v>1494540.1</v>
      </c>
      <c r="M43" s="168" t="str">
        <f>M59</f>
        <v>Х</v>
      </c>
    </row>
    <row r="44" spans="1:14" ht="25.5" customHeight="1" x14ac:dyDescent="0.25">
      <c r="A44" s="252" t="s">
        <v>178</v>
      </c>
      <c r="B44" s="253"/>
      <c r="C44" s="254"/>
      <c r="D44" s="164" t="s">
        <v>152</v>
      </c>
      <c r="E44" s="167" t="s">
        <v>56</v>
      </c>
      <c r="F44" s="167">
        <f>F60+F73</f>
        <v>5.0600000000000005E-4</v>
      </c>
      <c r="G44" s="167">
        <f>G60+G73</f>
        <v>366448.11499999999</v>
      </c>
      <c r="H44" s="167">
        <v>2.95</v>
      </c>
      <c r="I44" s="167" t="s">
        <v>45</v>
      </c>
      <c r="J44" s="119">
        <f t="shared" si="0"/>
        <v>185.42271958029255</v>
      </c>
      <c r="K44" s="167" t="s">
        <v>45</v>
      </c>
      <c r="L44" s="167">
        <f>L60+L73</f>
        <v>180674.6</v>
      </c>
      <c r="M44" s="168" t="s">
        <v>45</v>
      </c>
    </row>
    <row r="45" spans="1:14" ht="22.5" customHeight="1" x14ac:dyDescent="0.25">
      <c r="A45" s="275" t="s">
        <v>179</v>
      </c>
      <c r="B45" s="244"/>
      <c r="C45" s="245"/>
      <c r="D45" s="98" t="s">
        <v>94</v>
      </c>
      <c r="E45" s="121" t="s">
        <v>60</v>
      </c>
      <c r="F45" s="112">
        <f>F74</f>
        <v>9.1999999999999998E-2</v>
      </c>
      <c r="G45" s="113">
        <f>G74</f>
        <v>6442.2100000000009</v>
      </c>
      <c r="H45" s="108">
        <v>2.95</v>
      </c>
      <c r="I45" s="70" t="s">
        <v>45</v>
      </c>
      <c r="J45" s="99">
        <f t="shared" si="0"/>
        <v>587.52782501516333</v>
      </c>
      <c r="K45" s="70" t="s">
        <v>45</v>
      </c>
      <c r="L45" s="109">
        <f>L74</f>
        <v>572483</v>
      </c>
      <c r="M45" s="160" t="s">
        <v>45</v>
      </c>
    </row>
    <row r="46" spans="1:14" x14ac:dyDescent="0.25">
      <c r="A46" s="275" t="s">
        <v>180</v>
      </c>
      <c r="B46" s="244"/>
      <c r="C46" s="245"/>
      <c r="D46" s="98" t="s">
        <v>95</v>
      </c>
      <c r="E46" s="98" t="s">
        <v>63</v>
      </c>
      <c r="F46" s="70"/>
      <c r="G46" s="106"/>
      <c r="H46" s="108">
        <v>2.95</v>
      </c>
      <c r="I46" s="70" t="s">
        <v>45</v>
      </c>
      <c r="J46" s="99">
        <f>L46/974393*1000</f>
        <v>429.07943714702384</v>
      </c>
      <c r="K46" s="70" t="s">
        <v>45</v>
      </c>
      <c r="L46" s="114">
        <f>ROUND((40736766.6-228400.3-2500000)*1.1%,1)</f>
        <v>418092</v>
      </c>
      <c r="M46" s="160" t="s">
        <v>45</v>
      </c>
    </row>
    <row r="47" spans="1:14" x14ac:dyDescent="0.25">
      <c r="A47" s="244" t="s">
        <v>181</v>
      </c>
      <c r="B47" s="244"/>
      <c r="C47" s="245"/>
      <c r="D47" s="98" t="s">
        <v>97</v>
      </c>
      <c r="E47" s="98" t="s">
        <v>63</v>
      </c>
      <c r="F47" s="70"/>
      <c r="G47" s="106"/>
      <c r="H47" s="108"/>
      <c r="I47" s="70" t="s">
        <v>45</v>
      </c>
      <c r="J47" s="99"/>
      <c r="K47" s="70" t="s">
        <v>45</v>
      </c>
      <c r="L47" s="114">
        <v>0</v>
      </c>
      <c r="M47" s="160" t="s">
        <v>45</v>
      </c>
    </row>
    <row r="48" spans="1:14" ht="48.75" customHeight="1" x14ac:dyDescent="0.25">
      <c r="A48" s="258" t="s">
        <v>96</v>
      </c>
      <c r="B48" s="259"/>
      <c r="C48" s="260"/>
      <c r="D48" s="62" t="s">
        <v>99</v>
      </c>
      <c r="E48" s="62"/>
      <c r="F48" s="67"/>
      <c r="G48" s="60"/>
      <c r="H48" s="65">
        <v>2.95</v>
      </c>
      <c r="I48" s="70" t="s">
        <v>45</v>
      </c>
      <c r="J48" s="119">
        <f>L48/974393*1000</f>
        <v>39708.486924680299</v>
      </c>
      <c r="K48" s="169" t="s">
        <v>45</v>
      </c>
      <c r="L48" s="176">
        <f>L49+L50+L52+L53+L54+L58</f>
        <v>38691671.70000001</v>
      </c>
      <c r="M48" s="175">
        <f>L48/(L76+K76)*100</f>
        <v>79.130460250670026</v>
      </c>
    </row>
    <row r="49" spans="1:14" ht="27" customHeight="1" x14ac:dyDescent="0.25">
      <c r="A49" s="261" t="s">
        <v>98</v>
      </c>
      <c r="B49" s="256"/>
      <c r="C49" s="257"/>
      <c r="D49" s="62" t="s">
        <v>182</v>
      </c>
      <c r="E49" s="62" t="s">
        <v>48</v>
      </c>
      <c r="F49" s="64">
        <v>0.28999999999999998</v>
      </c>
      <c r="G49" s="60">
        <f>2513.8*H49</f>
        <v>7415.7100000000009</v>
      </c>
      <c r="H49" s="65">
        <v>2.95</v>
      </c>
      <c r="I49" s="66" t="s">
        <v>45</v>
      </c>
      <c r="J49" s="60">
        <f t="shared" ref="J49:J58" si="4">G49*F49</f>
        <v>2150.5559000000003</v>
      </c>
      <c r="K49" s="70" t="s">
        <v>45</v>
      </c>
      <c r="L49" s="68">
        <f>ROUND(J49*974393/1000,1)</f>
        <v>2095486.6</v>
      </c>
      <c r="M49" s="70" t="s">
        <v>45</v>
      </c>
    </row>
    <row r="50" spans="1:14" ht="38.25" customHeight="1" x14ac:dyDescent="0.25">
      <c r="A50" s="262" t="s">
        <v>100</v>
      </c>
      <c r="B50" s="263"/>
      <c r="C50" s="264"/>
      <c r="D50" s="62" t="s">
        <v>101</v>
      </c>
      <c r="E50" s="117" t="s">
        <v>83</v>
      </c>
      <c r="F50" s="128">
        <v>2.92</v>
      </c>
      <c r="G50" s="60">
        <f>519*H50</f>
        <v>1531.0500000000002</v>
      </c>
      <c r="H50" s="65">
        <v>2.95</v>
      </c>
      <c r="I50" s="69" t="s">
        <v>45</v>
      </c>
      <c r="J50" s="60">
        <f t="shared" si="4"/>
        <v>4470.6660000000002</v>
      </c>
      <c r="K50" s="70" t="s">
        <v>45</v>
      </c>
      <c r="L50" s="68">
        <f>ROUND(J50*974393/1000,1)</f>
        <v>4356185.7</v>
      </c>
      <c r="M50" s="70" t="s">
        <v>45</v>
      </c>
    </row>
    <row r="51" spans="1:14" ht="80.25" customHeight="1" x14ac:dyDescent="0.25">
      <c r="A51" s="265"/>
      <c r="B51" s="266"/>
      <c r="C51" s="267"/>
      <c r="D51" s="62" t="s">
        <v>156</v>
      </c>
      <c r="E51" s="117" t="s">
        <v>173</v>
      </c>
      <c r="F51" s="128">
        <v>0.82599999999999996</v>
      </c>
      <c r="G51" s="60">
        <f>1092.6*H51</f>
        <v>3223.17</v>
      </c>
      <c r="H51" s="65">
        <v>2.95</v>
      </c>
      <c r="I51" s="69" t="s">
        <v>45</v>
      </c>
      <c r="J51" s="60">
        <f t="shared" ref="J51" si="5">G51*F51</f>
        <v>2662.33842</v>
      </c>
      <c r="K51" s="70" t="s">
        <v>45</v>
      </c>
      <c r="L51" s="68">
        <f>ROUND(J51*974393/1000,1)</f>
        <v>2594163.9</v>
      </c>
      <c r="M51" s="70" t="s">
        <v>45</v>
      </c>
    </row>
    <row r="52" spans="1:14" ht="51" x14ac:dyDescent="0.25">
      <c r="A52" s="265"/>
      <c r="B52" s="266"/>
      <c r="C52" s="267"/>
      <c r="D52" s="62" t="s">
        <v>102</v>
      </c>
      <c r="E52" s="117" t="s">
        <v>86</v>
      </c>
      <c r="F52" s="128">
        <v>0.54</v>
      </c>
      <c r="G52" s="60">
        <f>650*H52</f>
        <v>1917.5000000000002</v>
      </c>
      <c r="H52" s="65">
        <v>2.95</v>
      </c>
      <c r="I52" s="69" t="s">
        <v>45</v>
      </c>
      <c r="J52" s="60">
        <f t="shared" si="4"/>
        <v>1035.4500000000003</v>
      </c>
      <c r="K52" s="70" t="s">
        <v>45</v>
      </c>
      <c r="L52" s="68">
        <f>ROUND(J52*974393/1000,1)</f>
        <v>1008935.2</v>
      </c>
      <c r="M52" s="70" t="s">
        <v>45</v>
      </c>
    </row>
    <row r="53" spans="1:14" x14ac:dyDescent="0.25">
      <c r="A53" s="268"/>
      <c r="B53" s="269"/>
      <c r="C53" s="270"/>
      <c r="D53" s="62" t="s">
        <v>183</v>
      </c>
      <c r="E53" s="117" t="s">
        <v>52</v>
      </c>
      <c r="F53" s="128">
        <v>1.77</v>
      </c>
      <c r="G53" s="60">
        <f>1419.2*H53</f>
        <v>4186.6400000000003</v>
      </c>
      <c r="H53" s="65">
        <v>2.95</v>
      </c>
      <c r="I53" s="69" t="s">
        <v>45</v>
      </c>
      <c r="J53" s="60">
        <f t="shared" si="4"/>
        <v>7410.3528000000006</v>
      </c>
      <c r="K53" s="70" t="s">
        <v>45</v>
      </c>
      <c r="L53" s="68">
        <f>ROUND(J53*974393/1000,1)</f>
        <v>7220595.9000000004</v>
      </c>
      <c r="M53" s="70" t="s">
        <v>45</v>
      </c>
    </row>
    <row r="54" spans="1:14" ht="37.5" customHeight="1" x14ac:dyDescent="0.25">
      <c r="A54" s="255" t="s">
        <v>194</v>
      </c>
      <c r="B54" s="256"/>
      <c r="C54" s="257"/>
      <c r="D54" s="62" t="s">
        <v>104</v>
      </c>
      <c r="E54" s="63" t="s">
        <v>54</v>
      </c>
      <c r="F54" s="64">
        <v>0.19500000000000001</v>
      </c>
      <c r="G54" s="60">
        <f>J54/F54</f>
        <v>102438.78167728196</v>
      </c>
      <c r="H54" s="65">
        <v>2.95</v>
      </c>
      <c r="I54" s="69" t="s">
        <v>45</v>
      </c>
      <c r="J54" s="60">
        <f>L54/974393*1000</f>
        <v>19975.562427069985</v>
      </c>
      <c r="K54" s="70" t="s">
        <v>45</v>
      </c>
      <c r="L54" s="68">
        <f>39682246.7-L61-L58-L49-L50-L52-L53-L46</f>
        <v>19464048.200000003</v>
      </c>
      <c r="M54" s="70" t="s">
        <v>45</v>
      </c>
    </row>
    <row r="55" spans="1:14" ht="25.5" x14ac:dyDescent="0.25">
      <c r="A55" s="252" t="s">
        <v>153</v>
      </c>
      <c r="B55" s="253"/>
      <c r="C55" s="254"/>
      <c r="D55" s="62" t="s">
        <v>184</v>
      </c>
      <c r="E55" s="63" t="s">
        <v>54</v>
      </c>
      <c r="F55" s="129">
        <v>1.076E-2</v>
      </c>
      <c r="G55" s="60">
        <f>109891.2*H55</f>
        <v>324179.04000000004</v>
      </c>
      <c r="H55" s="65">
        <v>2.95</v>
      </c>
      <c r="I55" s="69" t="s">
        <v>45</v>
      </c>
      <c r="J55" s="60">
        <f t="shared" ref="J55" si="6">G55*F55</f>
        <v>3488.1664704000004</v>
      </c>
      <c r="K55" s="69" t="s">
        <v>45</v>
      </c>
      <c r="L55" s="68">
        <f>ROUND(J55*974393/1000,1)</f>
        <v>3398845</v>
      </c>
      <c r="M55" s="70" t="s">
        <v>45</v>
      </c>
    </row>
    <row r="56" spans="1:14" ht="30" customHeight="1" x14ac:dyDescent="0.25">
      <c r="A56" s="252" t="s">
        <v>155</v>
      </c>
      <c r="B56" s="253"/>
      <c r="C56" s="254"/>
      <c r="D56" s="62" t="s">
        <v>144</v>
      </c>
      <c r="E56" s="63" t="s">
        <v>54</v>
      </c>
      <c r="F56" s="64">
        <v>5.0000000000000001E-3</v>
      </c>
      <c r="G56" s="60">
        <f>35342.5*H56</f>
        <v>104260.375</v>
      </c>
      <c r="H56" s="65">
        <v>2.95</v>
      </c>
      <c r="I56" s="69" t="s">
        <v>45</v>
      </c>
      <c r="J56" s="60">
        <f>G56*F56</f>
        <v>521.301875</v>
      </c>
      <c r="K56" s="69" t="s">
        <v>45</v>
      </c>
      <c r="L56" s="68">
        <f>ROUND(J56*979983/1000,1)</f>
        <v>510867</v>
      </c>
      <c r="M56" s="70" t="s">
        <v>45</v>
      </c>
      <c r="N56" s="127"/>
    </row>
    <row r="57" spans="1:14" ht="39" customHeight="1" x14ac:dyDescent="0.25">
      <c r="A57" s="249" t="s">
        <v>157</v>
      </c>
      <c r="B57" s="250"/>
      <c r="C57" s="251"/>
      <c r="D57" s="62" t="s">
        <v>158</v>
      </c>
      <c r="E57" s="63" t="s">
        <v>54</v>
      </c>
      <c r="F57" s="130">
        <f>прил7!F55</f>
        <v>3.3200156405064486E-3</v>
      </c>
      <c r="G57" s="60">
        <f>J57/F57</f>
        <v>251641.36012364761</v>
      </c>
      <c r="H57" s="130">
        <f>прил8!H55</f>
        <v>2.95</v>
      </c>
      <c r="I57" s="130" t="str">
        <f>прил8!I55</f>
        <v>Х</v>
      </c>
      <c r="J57" s="60">
        <f>L57/974393*1000</f>
        <v>835.45325140882585</v>
      </c>
      <c r="K57" s="130" t="str">
        <f>прил8!K55</f>
        <v>Х</v>
      </c>
      <c r="L57" s="182">
        <v>814059.8</v>
      </c>
      <c r="M57" s="130" t="str">
        <f>прил8!M55</f>
        <v>Х</v>
      </c>
    </row>
    <row r="58" spans="1:14" ht="15" customHeight="1" x14ac:dyDescent="0.25">
      <c r="A58" s="255" t="s">
        <v>103</v>
      </c>
      <c r="B58" s="256"/>
      <c r="C58" s="257"/>
      <c r="D58" s="62" t="s">
        <v>106</v>
      </c>
      <c r="E58" s="63" t="s">
        <v>56</v>
      </c>
      <c r="F58" s="129">
        <f>0.0668+0.008</f>
        <v>7.4800000000000005E-2</v>
      </c>
      <c r="G58" s="60">
        <f>21145.2*H58</f>
        <v>62378.340000000004</v>
      </c>
      <c r="H58" s="65">
        <v>2.95</v>
      </c>
      <c r="I58" s="69" t="s">
        <v>45</v>
      </c>
      <c r="J58" s="60">
        <f t="shared" si="4"/>
        <v>4665.899832000001</v>
      </c>
      <c r="K58" s="69" t="s">
        <v>45</v>
      </c>
      <c r="L58" s="68">
        <f>ROUND(J58*974393/1000,1)</f>
        <v>4546420.0999999996</v>
      </c>
      <c r="M58" s="70" t="s">
        <v>45</v>
      </c>
    </row>
    <row r="59" spans="1:14" x14ac:dyDescent="0.25">
      <c r="A59" s="252" t="s">
        <v>153</v>
      </c>
      <c r="B59" s="253"/>
      <c r="C59" s="254"/>
      <c r="D59" s="62" t="s">
        <v>185</v>
      </c>
      <c r="E59" s="63" t="s">
        <v>56</v>
      </c>
      <c r="F59" s="129">
        <v>6.6800000000000002E-3</v>
      </c>
      <c r="G59" s="60">
        <f>77835*H59</f>
        <v>229613.25</v>
      </c>
      <c r="H59" s="65">
        <v>2.95</v>
      </c>
      <c r="I59" s="69" t="s">
        <v>45</v>
      </c>
      <c r="J59" s="60">
        <f t="shared" ref="J59" si="7">G59*F59</f>
        <v>1533.8165100000001</v>
      </c>
      <c r="K59" s="69" t="s">
        <v>45</v>
      </c>
      <c r="L59" s="68">
        <f>ROUND(J59*974393/1000,1)</f>
        <v>1494540.1</v>
      </c>
      <c r="M59" s="70" t="s">
        <v>45</v>
      </c>
    </row>
    <row r="60" spans="1:14" ht="15.75" thickBot="1" x14ac:dyDescent="0.3">
      <c r="A60" s="271" t="s">
        <v>154</v>
      </c>
      <c r="B60" s="272"/>
      <c r="C60" s="273"/>
      <c r="D60" s="179" t="s">
        <v>186</v>
      </c>
      <c r="E60" s="63" t="s">
        <v>56</v>
      </c>
      <c r="F60" s="129">
        <v>5.0600000000000005E-4</v>
      </c>
      <c r="G60" s="60">
        <f>124219.7*H60</f>
        <v>366448.11499999999</v>
      </c>
      <c r="H60" s="65">
        <v>2.95</v>
      </c>
      <c r="I60" s="69" t="s">
        <v>45</v>
      </c>
      <c r="J60" s="60">
        <f t="shared" ref="J60" si="8">G60*F60</f>
        <v>185.42274619000003</v>
      </c>
      <c r="K60" s="69" t="s">
        <v>45</v>
      </c>
      <c r="L60" s="68">
        <f>ROUND(J60*974393/1000,1)</f>
        <v>180674.6</v>
      </c>
      <c r="M60" s="70" t="s">
        <v>45</v>
      </c>
    </row>
    <row r="61" spans="1:14" ht="47.25" customHeight="1" x14ac:dyDescent="0.25">
      <c r="A61" s="258" t="s">
        <v>105</v>
      </c>
      <c r="B61" s="259"/>
      <c r="C61" s="260"/>
      <c r="D61" s="62" t="s">
        <v>107</v>
      </c>
      <c r="E61" s="62"/>
      <c r="F61" s="67"/>
      <c r="G61" s="60"/>
      <c r="H61" s="65">
        <v>2.95</v>
      </c>
      <c r="I61" s="60"/>
      <c r="J61" s="85">
        <f>J74</f>
        <v>592.68332000000009</v>
      </c>
      <c r="K61" s="60"/>
      <c r="L61" s="68">
        <f>L74</f>
        <v>572483</v>
      </c>
      <c r="M61" s="119">
        <f>L61/(K76+L76)*100</f>
        <v>1.1708163872300281</v>
      </c>
    </row>
    <row r="62" spans="1:14" x14ac:dyDescent="0.25">
      <c r="A62" s="261" t="s">
        <v>98</v>
      </c>
      <c r="B62" s="256"/>
      <c r="C62" s="257"/>
      <c r="D62" s="62" t="s">
        <v>187</v>
      </c>
      <c r="E62" s="62" t="s">
        <v>48</v>
      </c>
      <c r="F62" s="64"/>
      <c r="G62" s="60"/>
      <c r="H62" s="65">
        <v>2.95</v>
      </c>
      <c r="I62" s="66" t="s">
        <v>45</v>
      </c>
      <c r="J62" s="60"/>
      <c r="K62" s="69" t="s">
        <v>45</v>
      </c>
      <c r="L62" s="68"/>
      <c r="M62" s="70" t="s">
        <v>45</v>
      </c>
    </row>
    <row r="63" spans="1:14" ht="38.25" x14ac:dyDescent="0.25">
      <c r="A63" s="262" t="s">
        <v>100</v>
      </c>
      <c r="B63" s="263"/>
      <c r="C63" s="264"/>
      <c r="D63" s="62" t="s">
        <v>108</v>
      </c>
      <c r="E63" s="117" t="s">
        <v>83</v>
      </c>
      <c r="F63" s="65"/>
      <c r="G63" s="85"/>
      <c r="H63" s="65">
        <v>2.95</v>
      </c>
      <c r="I63" s="66" t="s">
        <v>45</v>
      </c>
      <c r="J63" s="85"/>
      <c r="K63" s="69" t="s">
        <v>45</v>
      </c>
      <c r="L63" s="85"/>
      <c r="M63" s="70" t="s">
        <v>45</v>
      </c>
    </row>
    <row r="64" spans="1:14" ht="81" customHeight="1" x14ac:dyDescent="0.25">
      <c r="A64" s="265"/>
      <c r="B64" s="266"/>
      <c r="C64" s="267"/>
      <c r="D64" s="62" t="s">
        <v>161</v>
      </c>
      <c r="E64" s="117" t="s">
        <v>173</v>
      </c>
      <c r="F64" s="65"/>
      <c r="G64" s="85"/>
      <c r="H64" s="65">
        <v>2.95</v>
      </c>
      <c r="I64" s="66" t="s">
        <v>45</v>
      </c>
      <c r="J64" s="85"/>
      <c r="K64" s="69" t="s">
        <v>45</v>
      </c>
      <c r="L64" s="85"/>
      <c r="M64" s="70" t="s">
        <v>45</v>
      </c>
    </row>
    <row r="65" spans="1:14" ht="59.25" customHeight="1" x14ac:dyDescent="0.25">
      <c r="A65" s="265"/>
      <c r="B65" s="266"/>
      <c r="C65" s="267"/>
      <c r="D65" s="62" t="s">
        <v>109</v>
      </c>
      <c r="E65" s="117" t="s">
        <v>86</v>
      </c>
      <c r="F65" s="65"/>
      <c r="G65" s="85"/>
      <c r="H65" s="65">
        <v>2.95</v>
      </c>
      <c r="I65" s="66" t="s">
        <v>45</v>
      </c>
      <c r="J65" s="85"/>
      <c r="K65" s="69" t="s">
        <v>45</v>
      </c>
      <c r="L65" s="85"/>
      <c r="M65" s="70" t="s">
        <v>45</v>
      </c>
    </row>
    <row r="66" spans="1:14" x14ac:dyDescent="0.25">
      <c r="A66" s="268"/>
      <c r="B66" s="269"/>
      <c r="C66" s="270"/>
      <c r="D66" s="62" t="s">
        <v>188</v>
      </c>
      <c r="E66" s="117" t="s">
        <v>52</v>
      </c>
      <c r="F66" s="65"/>
      <c r="G66" s="85"/>
      <c r="H66" s="65">
        <v>2.95</v>
      </c>
      <c r="I66" s="66" t="s">
        <v>45</v>
      </c>
      <c r="J66" s="85"/>
      <c r="K66" s="69" t="s">
        <v>45</v>
      </c>
      <c r="L66" s="85"/>
      <c r="M66" s="70" t="s">
        <v>45</v>
      </c>
    </row>
    <row r="67" spans="1:14" ht="25.5" customHeight="1" x14ac:dyDescent="0.25">
      <c r="A67" s="255" t="s">
        <v>194</v>
      </c>
      <c r="B67" s="256"/>
      <c r="C67" s="257"/>
      <c r="D67" s="62" t="s">
        <v>110</v>
      </c>
      <c r="E67" s="117" t="s">
        <v>54</v>
      </c>
      <c r="F67" s="131"/>
      <c r="G67" s="60"/>
      <c r="H67" s="65">
        <v>2.95</v>
      </c>
      <c r="I67" s="66" t="s">
        <v>45</v>
      </c>
      <c r="J67" s="60"/>
      <c r="K67" s="69" t="s">
        <v>45</v>
      </c>
      <c r="L67" s="85"/>
      <c r="M67" s="70" t="s">
        <v>45</v>
      </c>
    </row>
    <row r="68" spans="1:14" ht="25.5" customHeight="1" x14ac:dyDescent="0.25">
      <c r="A68" s="252" t="s">
        <v>153</v>
      </c>
      <c r="B68" s="253"/>
      <c r="C68" s="254"/>
      <c r="D68" s="62" t="s">
        <v>162</v>
      </c>
      <c r="E68" s="117" t="s">
        <v>54</v>
      </c>
      <c r="F68" s="105"/>
      <c r="G68" s="85"/>
      <c r="H68" s="65">
        <v>2.95</v>
      </c>
      <c r="I68" s="66" t="s">
        <v>45</v>
      </c>
      <c r="J68" s="85"/>
      <c r="K68" s="69" t="s">
        <v>45</v>
      </c>
      <c r="L68" s="85"/>
      <c r="M68" s="70" t="s">
        <v>45</v>
      </c>
    </row>
    <row r="69" spans="1:14" ht="25.5" x14ac:dyDescent="0.25">
      <c r="A69" s="252" t="s">
        <v>155</v>
      </c>
      <c r="B69" s="253"/>
      <c r="C69" s="254"/>
      <c r="D69" s="62" t="s">
        <v>163</v>
      </c>
      <c r="E69" s="117" t="s">
        <v>54</v>
      </c>
      <c r="F69" s="131"/>
      <c r="G69" s="60"/>
      <c r="H69" s="65">
        <v>2.95</v>
      </c>
      <c r="I69" s="66" t="s">
        <v>45</v>
      </c>
      <c r="J69" s="60"/>
      <c r="K69" s="69" t="s">
        <v>45</v>
      </c>
      <c r="L69" s="85"/>
      <c r="M69" s="70" t="s">
        <v>45</v>
      </c>
    </row>
    <row r="70" spans="1:14" ht="25.5" x14ac:dyDescent="0.25">
      <c r="A70" s="249" t="s">
        <v>157</v>
      </c>
      <c r="B70" s="250"/>
      <c r="C70" s="251"/>
      <c r="D70" s="62" t="s">
        <v>196</v>
      </c>
      <c r="E70" s="117" t="s">
        <v>54</v>
      </c>
      <c r="F70" s="105"/>
      <c r="G70" s="85"/>
      <c r="H70" s="65">
        <v>2.95</v>
      </c>
      <c r="I70" s="66" t="s">
        <v>45</v>
      </c>
      <c r="J70" s="85"/>
      <c r="K70" s="69" t="s">
        <v>45</v>
      </c>
      <c r="L70" s="85"/>
      <c r="M70" s="70" t="s">
        <v>45</v>
      </c>
    </row>
    <row r="71" spans="1:14" ht="15" customHeight="1" x14ac:dyDescent="0.25">
      <c r="A71" s="255" t="s">
        <v>103</v>
      </c>
      <c r="B71" s="256"/>
      <c r="C71" s="257"/>
      <c r="D71" s="62" t="s">
        <v>111</v>
      </c>
      <c r="E71" s="63" t="s">
        <v>56</v>
      </c>
      <c r="F71" s="65"/>
      <c r="G71" s="85"/>
      <c r="H71" s="65">
        <v>2.95</v>
      </c>
      <c r="I71" s="66" t="s">
        <v>45</v>
      </c>
      <c r="J71" s="85"/>
      <c r="K71" s="69" t="s">
        <v>45</v>
      </c>
      <c r="L71" s="85"/>
      <c r="M71" s="70" t="s">
        <v>45</v>
      </c>
    </row>
    <row r="72" spans="1:14" x14ac:dyDescent="0.25">
      <c r="A72" s="252" t="s">
        <v>153</v>
      </c>
      <c r="B72" s="253"/>
      <c r="C72" s="254"/>
      <c r="D72" s="62" t="s">
        <v>189</v>
      </c>
      <c r="E72" s="63" t="s">
        <v>56</v>
      </c>
      <c r="F72" s="65"/>
      <c r="G72" s="85"/>
      <c r="H72" s="65">
        <v>2.95</v>
      </c>
      <c r="I72" s="66" t="s">
        <v>45</v>
      </c>
      <c r="J72" s="85"/>
      <c r="K72" s="69" t="s">
        <v>45</v>
      </c>
      <c r="L72" s="85"/>
      <c r="M72" s="70" t="s">
        <v>45</v>
      </c>
    </row>
    <row r="73" spans="1:14" x14ac:dyDescent="0.25">
      <c r="A73" s="217" t="s">
        <v>154</v>
      </c>
      <c r="B73" s="217"/>
      <c r="C73" s="217"/>
      <c r="D73" s="62" t="s">
        <v>190</v>
      </c>
      <c r="E73" s="63" t="s">
        <v>56</v>
      </c>
      <c r="F73" s="65"/>
      <c r="G73" s="85"/>
      <c r="H73" s="65">
        <v>2.95</v>
      </c>
      <c r="I73" s="66" t="s">
        <v>45</v>
      </c>
      <c r="J73" s="85"/>
      <c r="K73" s="69" t="s">
        <v>45</v>
      </c>
      <c r="L73" s="85"/>
      <c r="M73" s="70" t="s">
        <v>45</v>
      </c>
    </row>
    <row r="74" spans="1:14" x14ac:dyDescent="0.25">
      <c r="A74" s="246" t="s">
        <v>93</v>
      </c>
      <c r="B74" s="247"/>
      <c r="C74" s="248"/>
      <c r="D74" s="62" t="s">
        <v>113</v>
      </c>
      <c r="E74" s="63" t="s">
        <v>60</v>
      </c>
      <c r="F74" s="129">
        <v>9.1999999999999998E-2</v>
      </c>
      <c r="G74" s="60">
        <f>2183.8*H74</f>
        <v>6442.2100000000009</v>
      </c>
      <c r="H74" s="65">
        <v>2.95</v>
      </c>
      <c r="I74" s="66" t="s">
        <v>45</v>
      </c>
      <c r="J74" s="60">
        <f>F74*G74</f>
        <v>592.68332000000009</v>
      </c>
      <c r="K74" s="69" t="s">
        <v>45</v>
      </c>
      <c r="L74" s="68">
        <v>572483</v>
      </c>
      <c r="M74" s="70" t="s">
        <v>45</v>
      </c>
    </row>
    <row r="75" spans="1:14" ht="12.75" customHeight="1" x14ac:dyDescent="0.25">
      <c r="A75" s="246" t="s">
        <v>192</v>
      </c>
      <c r="B75" s="247"/>
      <c r="C75" s="248"/>
      <c r="D75" s="62" t="s">
        <v>191</v>
      </c>
      <c r="E75" s="63" t="s">
        <v>63</v>
      </c>
      <c r="F75" s="129" t="s">
        <v>45</v>
      </c>
      <c r="G75" s="129" t="s">
        <v>45</v>
      </c>
      <c r="H75" s="65">
        <v>2.95</v>
      </c>
      <c r="I75" s="66" t="s">
        <v>45</v>
      </c>
      <c r="J75" s="60"/>
      <c r="K75" s="69" t="s">
        <v>45</v>
      </c>
      <c r="L75" s="68"/>
      <c r="M75" s="70" t="s">
        <v>45</v>
      </c>
    </row>
    <row r="76" spans="1:14" x14ac:dyDescent="0.25">
      <c r="A76" s="274" t="s">
        <v>112</v>
      </c>
      <c r="B76" s="244"/>
      <c r="C76" s="245"/>
      <c r="D76" s="98" t="s">
        <v>193</v>
      </c>
      <c r="E76" s="98"/>
      <c r="F76" s="97" t="s">
        <v>45</v>
      </c>
      <c r="G76" s="97" t="s">
        <v>45</v>
      </c>
      <c r="H76" s="65">
        <v>2.95</v>
      </c>
      <c r="I76" s="99">
        <f>I13+I27</f>
        <v>9511.0257493844783</v>
      </c>
      <c r="J76" s="99">
        <f>J32</f>
        <v>40725.094186842485</v>
      </c>
      <c r="K76" s="99">
        <f>K13+K27</f>
        <v>9213806.1947162133</v>
      </c>
      <c r="L76" s="99">
        <f>прил6!G12</f>
        <v>39682246.700000003</v>
      </c>
      <c r="M76" s="132">
        <f>M32+M27+M13</f>
        <v>100.00067732283483</v>
      </c>
      <c r="N76" s="102">
        <f>L76+K76</f>
        <v>48896052.894716218</v>
      </c>
    </row>
    <row r="77" spans="1:14" ht="14.45" x14ac:dyDescent="0.3">
      <c r="K77" s="183">
        <v>9213842.1999999993</v>
      </c>
      <c r="L77" s="184">
        <f>K76-K77</f>
        <v>-36.00528378598392</v>
      </c>
      <c r="M77" s="184">
        <f>L77-K25</f>
        <v>-2190738.4388130889</v>
      </c>
      <c r="N77" s="102"/>
    </row>
    <row r="78" spans="1:14" x14ac:dyDescent="0.25">
      <c r="A78" s="241" t="s">
        <v>198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</row>
    <row r="79" spans="1:14" x14ac:dyDescent="0.25">
      <c r="A79" s="238" t="s">
        <v>201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</row>
    <row r="80" spans="1:14" x14ac:dyDescent="0.25">
      <c r="A80" s="238" t="s">
        <v>202</v>
      </c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</row>
    <row r="81" spans="1:13" ht="14.45" x14ac:dyDescent="0.3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</row>
    <row r="82" spans="1:13" ht="14.45" x14ac:dyDescent="0.3">
      <c r="A82" s="134"/>
      <c r="B82" s="134"/>
      <c r="C82" s="134"/>
      <c r="D82" s="134"/>
      <c r="E82" s="134"/>
      <c r="F82" s="135"/>
      <c r="G82" s="135"/>
      <c r="H82" s="135"/>
      <c r="I82" s="135"/>
      <c r="J82" s="135"/>
      <c r="K82" s="135"/>
      <c r="L82" s="136"/>
      <c r="M82" s="135"/>
    </row>
    <row r="83" spans="1:13" ht="14.45" x14ac:dyDescent="0.3">
      <c r="A83" s="232" t="s">
        <v>114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</row>
    <row r="84" spans="1:13" x14ac:dyDescent="0.25">
      <c r="C84" s="137" t="s">
        <v>115</v>
      </c>
      <c r="D84" s="242" t="s">
        <v>116</v>
      </c>
      <c r="E84" s="234"/>
      <c r="F84" s="235"/>
      <c r="G84" s="137" t="s">
        <v>117</v>
      </c>
      <c r="H84" s="138"/>
      <c r="I84" s="239" t="s">
        <v>118</v>
      </c>
      <c r="J84" s="240"/>
      <c r="M84" s="139"/>
    </row>
    <row r="85" spans="1:13" x14ac:dyDescent="0.25">
      <c r="C85" s="140" t="s">
        <v>119</v>
      </c>
      <c r="D85" s="233">
        <f>K14+L49</f>
        <v>2861825.35</v>
      </c>
      <c r="E85" s="234"/>
      <c r="F85" s="235"/>
      <c r="G85" s="141">
        <f>D85/D95*100</f>
        <v>5.8553407752425697</v>
      </c>
      <c r="H85" s="141"/>
      <c r="I85" s="142">
        <f>D85</f>
        <v>2861825.35</v>
      </c>
      <c r="J85" s="137"/>
      <c r="M85" s="133"/>
    </row>
    <row r="86" spans="1:13" x14ac:dyDescent="0.25">
      <c r="C86" s="140" t="s">
        <v>120</v>
      </c>
      <c r="D86" s="233">
        <f>K16+L34</f>
        <v>5497141.8576562498</v>
      </c>
      <c r="E86" s="234"/>
      <c r="F86" s="235"/>
      <c r="G86" s="141">
        <f>D86/D95*100</f>
        <v>11.247240809585856</v>
      </c>
      <c r="H86" s="141"/>
      <c r="I86" s="142">
        <f>D86</f>
        <v>5497141.8576562498</v>
      </c>
      <c r="J86" s="137"/>
      <c r="L86" s="133">
        <f>K76+L76</f>
        <v>48896052.894716218</v>
      </c>
    </row>
    <row r="87" spans="1:13" x14ac:dyDescent="0.25">
      <c r="C87" s="140" t="s">
        <v>121</v>
      </c>
      <c r="D87" s="233">
        <f>K17+L53</f>
        <v>7873261.6741500003</v>
      </c>
      <c r="E87" s="234"/>
      <c r="F87" s="235"/>
      <c r="G87" s="141">
        <f>D87/D95*100</f>
        <v>16.108820237686789</v>
      </c>
      <c r="H87" s="141"/>
      <c r="I87" s="142">
        <f>D87</f>
        <v>7873261.6741500003</v>
      </c>
      <c r="J87" s="137"/>
    </row>
    <row r="88" spans="1:13" x14ac:dyDescent="0.25">
      <c r="C88" s="140" t="s">
        <v>122</v>
      </c>
      <c r="D88" s="233">
        <f>L52</f>
        <v>1008935.2</v>
      </c>
      <c r="E88" s="234"/>
      <c r="F88" s="235"/>
      <c r="G88" s="141">
        <f>D88/D95*100</f>
        <v>2.0642976749568298</v>
      </c>
      <c r="H88" s="141"/>
      <c r="I88" s="142">
        <f>D88</f>
        <v>1008935.2</v>
      </c>
      <c r="J88" s="137"/>
      <c r="L88" s="133"/>
    </row>
    <row r="89" spans="1:13" x14ac:dyDescent="0.25">
      <c r="C89" s="140" t="s">
        <v>123</v>
      </c>
      <c r="D89" s="233">
        <f>K22+L58</f>
        <v>4731580.3088374995</v>
      </c>
      <c r="E89" s="234"/>
      <c r="F89" s="235"/>
      <c r="G89" s="141">
        <f>D89/D95*100</f>
        <v>9.6808895461321711</v>
      </c>
      <c r="H89" s="141"/>
      <c r="I89" s="137"/>
      <c r="J89" s="137"/>
    </row>
    <row r="90" spans="1:13" x14ac:dyDescent="0.25">
      <c r="C90" s="140" t="s">
        <v>124</v>
      </c>
      <c r="D90" s="233">
        <f>K20+L38+K26</f>
        <v>23706448.619841252</v>
      </c>
      <c r="E90" s="234"/>
      <c r="F90" s="235"/>
      <c r="G90" s="141">
        <f>D90/D95*100</f>
        <v>48.503775829628957</v>
      </c>
      <c r="H90" s="141"/>
      <c r="I90" s="137"/>
      <c r="J90" s="137"/>
    </row>
    <row r="91" spans="1:13" x14ac:dyDescent="0.25">
      <c r="C91" s="143" t="s">
        <v>125</v>
      </c>
      <c r="D91" s="233">
        <f>K26+L57</f>
        <v>1141965.6159999999</v>
      </c>
      <c r="E91" s="236"/>
      <c r="F91" s="237"/>
      <c r="G91" s="141">
        <f>D91/D95*100</f>
        <v>2.3364800494515845</v>
      </c>
      <c r="H91" s="141"/>
      <c r="I91" s="137"/>
      <c r="J91" s="137"/>
    </row>
    <row r="92" spans="1:13" x14ac:dyDescent="0.25">
      <c r="C92" s="143" t="s">
        <v>126</v>
      </c>
      <c r="D92" s="233">
        <f>L40</f>
        <v>510867</v>
      </c>
      <c r="E92" s="234"/>
      <c r="F92" s="235"/>
      <c r="G92" s="141">
        <f>D92/D95*100</f>
        <v>1.0452421129842342</v>
      </c>
      <c r="H92" s="141"/>
      <c r="I92" s="137"/>
      <c r="J92" s="137"/>
    </row>
    <row r="93" spans="1:13" x14ac:dyDescent="0.25">
      <c r="C93" s="140" t="s">
        <v>127</v>
      </c>
      <c r="D93" s="233">
        <f>L74</f>
        <v>572483</v>
      </c>
      <c r="E93" s="234"/>
      <c r="F93" s="235"/>
      <c r="G93" s="141">
        <f>D93/D95*100</f>
        <v>1.1713094417285779</v>
      </c>
      <c r="H93" s="141"/>
      <c r="I93" s="137"/>
      <c r="J93" s="137"/>
    </row>
    <row r="94" spans="1:13" x14ac:dyDescent="0.25">
      <c r="C94" s="140" t="s">
        <v>128</v>
      </c>
      <c r="D94" s="233">
        <f>K25+L46+K27</f>
        <v>2623794.4335293029</v>
      </c>
      <c r="E94" s="234"/>
      <c r="F94" s="235"/>
      <c r="G94" s="141">
        <f>D94/D95*100</f>
        <v>5.3683256850382595</v>
      </c>
      <c r="H94" s="141"/>
      <c r="I94" s="137"/>
      <c r="J94" s="137"/>
    </row>
    <row r="95" spans="1:13" x14ac:dyDescent="0.25">
      <c r="C95" s="140" t="s">
        <v>129</v>
      </c>
      <c r="D95" s="233">
        <f>D85+D86+D87+D88+D89+D90+D93+D94</f>
        <v>48875470.444014303</v>
      </c>
      <c r="E95" s="234"/>
      <c r="F95" s="235"/>
      <c r="G95" s="142">
        <f>G85+G86+G87+G88+G89+G90+G93+G94</f>
        <v>100.00000000000001</v>
      </c>
      <c r="H95" s="142"/>
      <c r="I95" s="142">
        <f>I85+I86+I87+I88</f>
        <v>17241164.08180625</v>
      </c>
      <c r="J95" s="137">
        <f>I95/D95*100</f>
        <v>35.27569949747204</v>
      </c>
    </row>
    <row r="97" spans="6:12" ht="14.45" x14ac:dyDescent="0.3">
      <c r="F97" s="133"/>
      <c r="K97" s="133"/>
    </row>
    <row r="98" spans="6:12" ht="14.45" x14ac:dyDescent="0.3">
      <c r="F98" s="133"/>
      <c r="K98" s="133"/>
      <c r="L98" s="133"/>
    </row>
  </sheetData>
  <mergeCells count="88">
    <mergeCell ref="I1:M1"/>
    <mergeCell ref="A4:M4"/>
    <mergeCell ref="A5:M5"/>
    <mergeCell ref="A6:M6"/>
    <mergeCell ref="K9:M9"/>
    <mergeCell ref="A9:C11"/>
    <mergeCell ref="I10:J10"/>
    <mergeCell ref="K10:L10"/>
    <mergeCell ref="M10:M11"/>
    <mergeCell ref="I9:J9"/>
    <mergeCell ref="D9:D11"/>
    <mergeCell ref="E9:E11"/>
    <mergeCell ref="F9:F11"/>
    <mergeCell ref="H9:H11"/>
    <mergeCell ref="G9:G11"/>
    <mergeCell ref="A38:C38"/>
    <mergeCell ref="A42:C42"/>
    <mergeCell ref="A40:C40"/>
    <mergeCell ref="A12:C12"/>
    <mergeCell ref="A13:C13"/>
    <mergeCell ref="A14:C14"/>
    <mergeCell ref="A15:C15"/>
    <mergeCell ref="A16:C17"/>
    <mergeCell ref="A34:A37"/>
    <mergeCell ref="B34:B37"/>
    <mergeCell ref="A28:C28"/>
    <mergeCell ref="A29:C29"/>
    <mergeCell ref="A30:C30"/>
    <mergeCell ref="A31:C31"/>
    <mergeCell ref="A32:C32"/>
    <mergeCell ref="A21:C21"/>
    <mergeCell ref="A22:C22"/>
    <mergeCell ref="A23:C23"/>
    <mergeCell ref="A33:C33"/>
    <mergeCell ref="A18:C19"/>
    <mergeCell ref="A24:C24"/>
    <mergeCell ref="A25:C25"/>
    <mergeCell ref="A26:C26"/>
    <mergeCell ref="A27:C27"/>
    <mergeCell ref="A20:C20"/>
    <mergeCell ref="A83:M83"/>
    <mergeCell ref="A62:C62"/>
    <mergeCell ref="A63:C66"/>
    <mergeCell ref="A67:C67"/>
    <mergeCell ref="A49:C49"/>
    <mergeCell ref="A54:C54"/>
    <mergeCell ref="A56:C56"/>
    <mergeCell ref="A57:C57"/>
    <mergeCell ref="A58:C58"/>
    <mergeCell ref="A61:C61"/>
    <mergeCell ref="A50:C53"/>
    <mergeCell ref="A70:C70"/>
    <mergeCell ref="A68:C68"/>
    <mergeCell ref="A71:C71"/>
    <mergeCell ref="A80:M80"/>
    <mergeCell ref="A81:M81"/>
    <mergeCell ref="D86:F86"/>
    <mergeCell ref="D84:F84"/>
    <mergeCell ref="I84:J84"/>
    <mergeCell ref="D85:F85"/>
    <mergeCell ref="D87:F87"/>
    <mergeCell ref="D95:F95"/>
    <mergeCell ref="D88:F88"/>
    <mergeCell ref="D89:F89"/>
    <mergeCell ref="D90:F90"/>
    <mergeCell ref="D91:F91"/>
    <mergeCell ref="D92:F92"/>
    <mergeCell ref="D93:F93"/>
    <mergeCell ref="D94:F94"/>
    <mergeCell ref="A76:C76"/>
    <mergeCell ref="A78:M78"/>
    <mergeCell ref="A79:M79"/>
    <mergeCell ref="A47:C47"/>
    <mergeCell ref="A75:C75"/>
    <mergeCell ref="A48:C48"/>
    <mergeCell ref="A69:C69"/>
    <mergeCell ref="A72:C72"/>
    <mergeCell ref="A73:C73"/>
    <mergeCell ref="A55:C55"/>
    <mergeCell ref="A59:C59"/>
    <mergeCell ref="A60:C60"/>
    <mergeCell ref="A41:C41"/>
    <mergeCell ref="A39:C39"/>
    <mergeCell ref="A45:C45"/>
    <mergeCell ref="A46:C46"/>
    <mergeCell ref="A74:C74"/>
    <mergeCell ref="A43:C43"/>
    <mergeCell ref="A44:C44"/>
  </mergeCells>
  <phoneticPr fontId="29" type="noConversion"/>
  <printOptions horizontalCentered="1"/>
  <pageMargins left="0.39370078740157483" right="0.39370078740157483" top="0.98425196850393704" bottom="0.39370078740157483" header="0.31496062992125984" footer="0.31496062992125984"/>
  <pageSetup paperSize="9" scale="57" orientation="landscape" horizontalDpi="300" verticalDpi="300" r:id="rId1"/>
  <headerFooter differentFirst="1">
    <oddHeader>&amp;C&amp;P</oddHeader>
  </headerFooter>
  <colBreaks count="1" manualBreakCount="1">
    <brk id="13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topLeftCell="A97" zoomScale="85" zoomScaleNormal="85" zoomScaleSheetLayoutView="85" workbookViewId="0">
      <selection activeCell="H98" sqref="H98"/>
    </sheetView>
  </sheetViews>
  <sheetFormatPr defaultColWidth="9.140625" defaultRowHeight="15.75" x14ac:dyDescent="0.25"/>
  <cols>
    <col min="1" max="4" width="9.140625" style="185"/>
    <col min="5" max="5" width="9.140625" style="185" customWidth="1"/>
    <col min="6" max="6" width="9.140625" style="185"/>
    <col min="7" max="7" width="137.140625" style="185" customWidth="1"/>
    <col min="8" max="8" width="15" style="185" bestFit="1" customWidth="1"/>
    <col min="9" max="16384" width="9.140625" style="185"/>
  </cols>
  <sheetData>
    <row r="1" spans="1:7" ht="0.6" customHeight="1" x14ac:dyDescent="0.3"/>
    <row r="2" spans="1:7" ht="18.75" x14ac:dyDescent="0.25">
      <c r="G2" s="190" t="s">
        <v>326</v>
      </c>
    </row>
    <row r="3" spans="1:7" ht="61.15" customHeight="1" x14ac:dyDescent="0.25">
      <c r="G3" s="84" t="s">
        <v>325</v>
      </c>
    </row>
    <row r="4" spans="1:7" ht="15" customHeight="1" x14ac:dyDescent="0.3">
      <c r="A4" s="188"/>
    </row>
    <row r="5" spans="1:7" ht="15.6" hidden="1" x14ac:dyDescent="0.3">
      <c r="A5" s="188"/>
    </row>
    <row r="6" spans="1:7" ht="15.6" x14ac:dyDescent="0.3">
      <c r="A6" s="188"/>
    </row>
    <row r="7" spans="1:7" s="189" customFormat="1" ht="18.75" x14ac:dyDescent="0.3">
      <c r="A7" s="337" t="s">
        <v>324</v>
      </c>
      <c r="B7" s="337"/>
      <c r="C7" s="337"/>
      <c r="D7" s="337"/>
      <c r="E7" s="337"/>
      <c r="F7" s="337"/>
      <c r="G7" s="337"/>
    </row>
    <row r="8" spans="1:7" s="189" customFormat="1" ht="18.75" x14ac:dyDescent="0.3">
      <c r="A8" s="337" t="s">
        <v>323</v>
      </c>
      <c r="B8" s="337"/>
      <c r="C8" s="337"/>
      <c r="D8" s="337"/>
      <c r="E8" s="337"/>
      <c r="F8" s="337"/>
      <c r="G8" s="337"/>
    </row>
    <row r="9" spans="1:7" s="189" customFormat="1" ht="18.75" x14ac:dyDescent="0.3">
      <c r="A9" s="337" t="s">
        <v>322</v>
      </c>
      <c r="B9" s="337"/>
      <c r="C9" s="337"/>
      <c r="D9" s="337"/>
      <c r="E9" s="337"/>
      <c r="F9" s="337"/>
      <c r="G9" s="337"/>
    </row>
    <row r="10" spans="1:7" s="189" customFormat="1" ht="18.75" x14ac:dyDescent="0.3">
      <c r="A10" s="337" t="s">
        <v>321</v>
      </c>
      <c r="B10" s="337"/>
      <c r="C10" s="337"/>
      <c r="D10" s="337"/>
      <c r="E10" s="337"/>
      <c r="F10" s="337"/>
      <c r="G10" s="337"/>
    </row>
    <row r="11" spans="1:7" ht="15.6" x14ac:dyDescent="0.3">
      <c r="A11" s="188"/>
    </row>
    <row r="12" spans="1:7" ht="50.25" x14ac:dyDescent="0.25">
      <c r="A12" s="198" t="s">
        <v>265</v>
      </c>
      <c r="B12" s="338" t="s">
        <v>264</v>
      </c>
      <c r="C12" s="338"/>
      <c r="D12" s="338"/>
      <c r="E12" s="338"/>
      <c r="F12" s="338"/>
      <c r="G12" s="338"/>
    </row>
    <row r="13" spans="1:7" x14ac:dyDescent="0.25">
      <c r="A13" s="329" t="s">
        <v>263</v>
      </c>
      <c r="B13" s="330"/>
      <c r="C13" s="330"/>
      <c r="D13" s="330"/>
      <c r="E13" s="330"/>
      <c r="F13" s="330"/>
      <c r="G13" s="331"/>
    </row>
    <row r="14" spans="1:7" x14ac:dyDescent="0.25">
      <c r="A14" s="198">
        <v>1</v>
      </c>
      <c r="B14" s="339" t="s">
        <v>320</v>
      </c>
      <c r="C14" s="339"/>
      <c r="D14" s="339"/>
      <c r="E14" s="339"/>
      <c r="F14" s="339"/>
      <c r="G14" s="339"/>
    </row>
    <row r="15" spans="1:7" x14ac:dyDescent="0.25">
      <c r="A15" s="329" t="s">
        <v>319</v>
      </c>
      <c r="B15" s="330"/>
      <c r="C15" s="330"/>
      <c r="D15" s="330"/>
      <c r="E15" s="330"/>
      <c r="F15" s="330"/>
      <c r="G15" s="331"/>
    </row>
    <row r="16" spans="1:7" ht="33.75" customHeight="1" x14ac:dyDescent="0.25">
      <c r="A16" s="198">
        <v>3</v>
      </c>
      <c r="B16" s="334" t="s">
        <v>318</v>
      </c>
      <c r="C16" s="335"/>
      <c r="D16" s="335"/>
      <c r="E16" s="335"/>
      <c r="F16" s="335"/>
      <c r="G16" s="336"/>
    </row>
    <row r="17" spans="1:7" x14ac:dyDescent="0.25">
      <c r="A17" s="329" t="s">
        <v>317</v>
      </c>
      <c r="B17" s="330"/>
      <c r="C17" s="330"/>
      <c r="D17" s="330"/>
      <c r="E17" s="330"/>
      <c r="F17" s="330"/>
      <c r="G17" s="331"/>
    </row>
    <row r="18" spans="1:7" ht="51" customHeight="1" x14ac:dyDescent="0.25">
      <c r="A18" s="332">
        <v>5</v>
      </c>
      <c r="B18" s="334" t="s">
        <v>316</v>
      </c>
      <c r="C18" s="335"/>
      <c r="D18" s="335"/>
      <c r="E18" s="335"/>
      <c r="F18" s="335"/>
      <c r="G18" s="336"/>
    </row>
    <row r="19" spans="1:7" ht="31.5" customHeight="1" x14ac:dyDescent="0.25">
      <c r="A19" s="333"/>
      <c r="B19" s="334" t="s">
        <v>315</v>
      </c>
      <c r="C19" s="335"/>
      <c r="D19" s="335"/>
      <c r="E19" s="335"/>
      <c r="F19" s="335"/>
      <c r="G19" s="336"/>
    </row>
    <row r="20" spans="1:7" x14ac:dyDescent="0.25">
      <c r="A20" s="329" t="s">
        <v>314</v>
      </c>
      <c r="B20" s="330"/>
      <c r="C20" s="330"/>
      <c r="D20" s="330"/>
      <c r="E20" s="330"/>
      <c r="F20" s="330"/>
      <c r="G20" s="331"/>
    </row>
    <row r="21" spans="1:7" ht="15.75" customHeight="1" x14ac:dyDescent="0.25">
      <c r="A21" s="342">
        <v>6</v>
      </c>
      <c r="B21" s="343" t="s">
        <v>313</v>
      </c>
      <c r="C21" s="344"/>
      <c r="D21" s="344"/>
      <c r="E21" s="344"/>
      <c r="F21" s="344"/>
      <c r="G21" s="345"/>
    </row>
    <row r="22" spans="1:7" ht="36" customHeight="1" x14ac:dyDescent="0.25">
      <c r="A22" s="342"/>
      <c r="B22" s="346"/>
      <c r="C22" s="347"/>
      <c r="D22" s="347"/>
      <c r="E22" s="347"/>
      <c r="F22" s="347"/>
      <c r="G22" s="348"/>
    </row>
    <row r="23" spans="1:7" x14ac:dyDescent="0.25">
      <c r="A23" s="329" t="s">
        <v>312</v>
      </c>
      <c r="B23" s="330"/>
      <c r="C23" s="330"/>
      <c r="D23" s="330"/>
      <c r="E23" s="330"/>
      <c r="F23" s="330"/>
      <c r="G23" s="331"/>
    </row>
    <row r="24" spans="1:7" x14ac:dyDescent="0.25">
      <c r="A24" s="199">
        <v>8</v>
      </c>
      <c r="B24" s="349" t="s">
        <v>311</v>
      </c>
      <c r="C24" s="350"/>
      <c r="D24" s="350"/>
      <c r="E24" s="350"/>
      <c r="F24" s="350"/>
      <c r="G24" s="351"/>
    </row>
    <row r="25" spans="1:7" x14ac:dyDescent="0.25">
      <c r="A25" s="329" t="s">
        <v>310</v>
      </c>
      <c r="B25" s="330"/>
      <c r="C25" s="330"/>
      <c r="D25" s="330"/>
      <c r="E25" s="330"/>
      <c r="F25" s="330"/>
      <c r="G25" s="331"/>
    </row>
    <row r="26" spans="1:7" ht="15.75" customHeight="1" x14ac:dyDescent="0.25">
      <c r="A26" s="342">
        <v>9</v>
      </c>
      <c r="B26" s="341" t="s">
        <v>309</v>
      </c>
      <c r="C26" s="341"/>
      <c r="D26" s="341"/>
      <c r="E26" s="341"/>
      <c r="F26" s="341"/>
      <c r="G26" s="341"/>
    </row>
    <row r="27" spans="1:7" x14ac:dyDescent="0.25">
      <c r="A27" s="342"/>
      <c r="B27" s="341" t="s">
        <v>308</v>
      </c>
      <c r="C27" s="341"/>
      <c r="D27" s="341"/>
      <c r="E27" s="341"/>
      <c r="F27" s="341"/>
      <c r="G27" s="341"/>
    </row>
    <row r="28" spans="1:7" x14ac:dyDescent="0.25">
      <c r="A28" s="329" t="s">
        <v>261</v>
      </c>
      <c r="B28" s="330"/>
      <c r="C28" s="330"/>
      <c r="D28" s="330"/>
      <c r="E28" s="330"/>
      <c r="F28" s="330"/>
      <c r="G28" s="331"/>
    </row>
    <row r="29" spans="1:7" x14ac:dyDescent="0.25">
      <c r="A29" s="197">
        <v>10</v>
      </c>
      <c r="B29" s="349" t="s">
        <v>307</v>
      </c>
      <c r="C29" s="350"/>
      <c r="D29" s="350"/>
      <c r="E29" s="350"/>
      <c r="F29" s="350"/>
      <c r="G29" s="351"/>
    </row>
    <row r="30" spans="1:7" x14ac:dyDescent="0.25">
      <c r="A30" s="197">
        <v>11</v>
      </c>
      <c r="B30" s="341" t="s">
        <v>306</v>
      </c>
      <c r="C30" s="341"/>
      <c r="D30" s="341"/>
      <c r="E30" s="341"/>
      <c r="F30" s="341"/>
      <c r="G30" s="341"/>
    </row>
    <row r="31" spans="1:7" x14ac:dyDescent="0.25">
      <c r="A31" s="329" t="s">
        <v>259</v>
      </c>
      <c r="B31" s="330"/>
      <c r="C31" s="330"/>
      <c r="D31" s="330"/>
      <c r="E31" s="330"/>
      <c r="F31" s="330"/>
      <c r="G31" s="331"/>
    </row>
    <row r="32" spans="1:7" ht="32.25" customHeight="1" x14ac:dyDescent="0.25">
      <c r="A32" s="338">
        <v>12</v>
      </c>
      <c r="B32" s="340" t="s">
        <v>305</v>
      </c>
      <c r="C32" s="340"/>
      <c r="D32" s="340"/>
      <c r="E32" s="340"/>
      <c r="F32" s="340"/>
      <c r="G32" s="340"/>
    </row>
    <row r="33" spans="1:7" ht="35.25" customHeight="1" x14ac:dyDescent="0.25">
      <c r="A33" s="338"/>
      <c r="B33" s="340" t="s">
        <v>304</v>
      </c>
      <c r="C33" s="340"/>
      <c r="D33" s="340"/>
      <c r="E33" s="340"/>
      <c r="F33" s="340"/>
      <c r="G33" s="340"/>
    </row>
    <row r="34" spans="1:7" ht="34.5" customHeight="1" x14ac:dyDescent="0.25">
      <c r="A34" s="338"/>
      <c r="B34" s="340" t="s">
        <v>303</v>
      </c>
      <c r="C34" s="340"/>
      <c r="D34" s="340"/>
      <c r="E34" s="340"/>
      <c r="F34" s="340"/>
      <c r="G34" s="340"/>
    </row>
    <row r="35" spans="1:7" ht="30.75" customHeight="1" x14ac:dyDescent="0.25">
      <c r="A35" s="338"/>
      <c r="B35" s="340" t="s">
        <v>255</v>
      </c>
      <c r="C35" s="340"/>
      <c r="D35" s="340"/>
      <c r="E35" s="340"/>
      <c r="F35" s="340"/>
      <c r="G35" s="340"/>
    </row>
    <row r="36" spans="1:7" x14ac:dyDescent="0.25">
      <c r="A36" s="338"/>
      <c r="B36" s="340" t="s">
        <v>302</v>
      </c>
      <c r="C36" s="340"/>
      <c r="D36" s="340"/>
      <c r="E36" s="340"/>
      <c r="F36" s="340"/>
      <c r="G36" s="340"/>
    </row>
    <row r="37" spans="1:7" x14ac:dyDescent="0.25">
      <c r="A37" s="338"/>
      <c r="B37" s="340" t="s">
        <v>301</v>
      </c>
      <c r="C37" s="340"/>
      <c r="D37" s="340"/>
      <c r="E37" s="340"/>
      <c r="F37" s="340"/>
      <c r="G37" s="340"/>
    </row>
    <row r="38" spans="1:7" x14ac:dyDescent="0.25">
      <c r="A38" s="338"/>
      <c r="B38" s="340" t="s">
        <v>300</v>
      </c>
      <c r="C38" s="340"/>
      <c r="D38" s="340"/>
      <c r="E38" s="340"/>
      <c r="F38" s="340"/>
      <c r="G38" s="340"/>
    </row>
    <row r="39" spans="1:7" ht="31.5" customHeight="1" x14ac:dyDescent="0.25">
      <c r="A39" s="198">
        <v>15</v>
      </c>
      <c r="B39" s="352" t="s">
        <v>299</v>
      </c>
      <c r="C39" s="353"/>
      <c r="D39" s="353"/>
      <c r="E39" s="353"/>
      <c r="F39" s="353"/>
      <c r="G39" s="354"/>
    </row>
    <row r="40" spans="1:7" ht="62.25" customHeight="1" x14ac:dyDescent="0.25">
      <c r="A40" s="198">
        <v>16</v>
      </c>
      <c r="B40" s="352" t="s">
        <v>298</v>
      </c>
      <c r="C40" s="353"/>
      <c r="D40" s="353"/>
      <c r="E40" s="353"/>
      <c r="F40" s="353"/>
      <c r="G40" s="354"/>
    </row>
    <row r="41" spans="1:7" x14ac:dyDescent="0.25">
      <c r="A41" s="329" t="s">
        <v>297</v>
      </c>
      <c r="B41" s="330"/>
      <c r="C41" s="330"/>
      <c r="D41" s="330"/>
      <c r="E41" s="330"/>
      <c r="F41" s="330"/>
      <c r="G41" s="331"/>
    </row>
    <row r="42" spans="1:7" ht="51" customHeight="1" x14ac:dyDescent="0.25">
      <c r="A42" s="199">
        <v>18</v>
      </c>
      <c r="B42" s="355" t="s">
        <v>296</v>
      </c>
      <c r="C42" s="355"/>
      <c r="D42" s="355"/>
      <c r="E42" s="355"/>
      <c r="F42" s="355"/>
      <c r="G42" s="355"/>
    </row>
    <row r="43" spans="1:7" x14ac:dyDescent="0.25">
      <c r="A43" s="199">
        <v>19</v>
      </c>
      <c r="B43" s="340" t="s">
        <v>295</v>
      </c>
      <c r="C43" s="340"/>
      <c r="D43" s="340"/>
      <c r="E43" s="340"/>
      <c r="F43" s="340"/>
      <c r="G43" s="340"/>
    </row>
    <row r="44" spans="1:7" x14ac:dyDescent="0.25">
      <c r="A44" s="329" t="s">
        <v>249</v>
      </c>
      <c r="B44" s="330"/>
      <c r="C44" s="330"/>
      <c r="D44" s="330"/>
      <c r="E44" s="330"/>
      <c r="F44" s="330"/>
      <c r="G44" s="331"/>
    </row>
    <row r="45" spans="1:7" ht="34.5" customHeight="1" x14ac:dyDescent="0.25">
      <c r="A45" s="342">
        <v>20</v>
      </c>
      <c r="B45" s="340" t="s">
        <v>294</v>
      </c>
      <c r="C45" s="340"/>
      <c r="D45" s="340"/>
      <c r="E45" s="340"/>
      <c r="F45" s="340"/>
      <c r="G45" s="340"/>
    </row>
    <row r="46" spans="1:7" ht="48.75" customHeight="1" x14ac:dyDescent="0.25">
      <c r="A46" s="342"/>
      <c r="B46" s="340" t="s">
        <v>293</v>
      </c>
      <c r="C46" s="340"/>
      <c r="D46" s="340"/>
      <c r="E46" s="340"/>
      <c r="F46" s="340"/>
      <c r="G46" s="340"/>
    </row>
    <row r="47" spans="1:7" ht="30.75" customHeight="1" x14ac:dyDescent="0.25">
      <c r="A47" s="342"/>
      <c r="B47" s="340" t="s">
        <v>292</v>
      </c>
      <c r="C47" s="340"/>
      <c r="D47" s="340"/>
      <c r="E47" s="340"/>
      <c r="F47" s="340"/>
      <c r="G47" s="340"/>
    </row>
    <row r="48" spans="1:7" x14ac:dyDescent="0.25">
      <c r="A48" s="356">
        <v>22</v>
      </c>
      <c r="B48" s="340" t="s">
        <v>291</v>
      </c>
      <c r="C48" s="340"/>
      <c r="D48" s="340"/>
      <c r="E48" s="340"/>
      <c r="F48" s="340"/>
      <c r="G48" s="340"/>
    </row>
    <row r="49" spans="1:7" x14ac:dyDescent="0.25">
      <c r="A49" s="357"/>
      <c r="B49" s="340"/>
      <c r="C49" s="340"/>
      <c r="D49" s="340"/>
      <c r="E49" s="340"/>
      <c r="F49" s="340"/>
      <c r="G49" s="340"/>
    </row>
    <row r="50" spans="1:7" x14ac:dyDescent="0.25">
      <c r="A50" s="329" t="s">
        <v>243</v>
      </c>
      <c r="B50" s="330"/>
      <c r="C50" s="330"/>
      <c r="D50" s="330"/>
      <c r="E50" s="330"/>
      <c r="F50" s="330"/>
      <c r="G50" s="331"/>
    </row>
    <row r="51" spans="1:7" ht="15.75" customHeight="1" x14ac:dyDescent="0.25">
      <c r="A51" s="201">
        <v>23</v>
      </c>
      <c r="B51" s="358" t="s">
        <v>242</v>
      </c>
      <c r="C51" s="359"/>
      <c r="D51" s="359"/>
      <c r="E51" s="359"/>
      <c r="F51" s="359"/>
      <c r="G51" s="360"/>
    </row>
    <row r="52" spans="1:7" x14ac:dyDescent="0.25">
      <c r="A52" s="198">
        <v>24</v>
      </c>
      <c r="B52" s="339" t="s">
        <v>290</v>
      </c>
      <c r="C52" s="339"/>
      <c r="D52" s="339"/>
      <c r="E52" s="339"/>
      <c r="F52" s="339"/>
      <c r="G52" s="339"/>
    </row>
    <row r="53" spans="1:7" x14ac:dyDescent="0.25">
      <c r="A53" s="329" t="s">
        <v>239</v>
      </c>
      <c r="B53" s="330"/>
      <c r="C53" s="330"/>
      <c r="D53" s="330"/>
      <c r="E53" s="330"/>
      <c r="F53" s="330"/>
      <c r="G53" s="331"/>
    </row>
    <row r="54" spans="1:7" ht="15.75" customHeight="1" x14ac:dyDescent="0.25">
      <c r="A54" s="342">
        <v>25</v>
      </c>
      <c r="B54" s="355" t="s">
        <v>289</v>
      </c>
      <c r="C54" s="355"/>
      <c r="D54" s="355"/>
      <c r="E54" s="355"/>
      <c r="F54" s="355"/>
      <c r="G54" s="355"/>
    </row>
    <row r="55" spans="1:7" x14ac:dyDescent="0.25">
      <c r="A55" s="342"/>
      <c r="B55" s="340" t="s">
        <v>288</v>
      </c>
      <c r="C55" s="340"/>
      <c r="D55" s="340"/>
      <c r="E55" s="340"/>
      <c r="F55" s="340"/>
      <c r="G55" s="340"/>
    </row>
    <row r="56" spans="1:7" ht="33" customHeight="1" x14ac:dyDescent="0.25">
      <c r="A56" s="342"/>
      <c r="B56" s="340" t="s">
        <v>287</v>
      </c>
      <c r="C56" s="340"/>
      <c r="D56" s="340"/>
      <c r="E56" s="340"/>
      <c r="F56" s="340"/>
      <c r="G56" s="340"/>
    </row>
    <row r="57" spans="1:7" ht="32.25" customHeight="1" x14ac:dyDescent="0.25">
      <c r="A57" s="199">
        <v>26</v>
      </c>
      <c r="B57" s="334" t="s">
        <v>286</v>
      </c>
      <c r="C57" s="335"/>
      <c r="D57" s="335"/>
      <c r="E57" s="335"/>
      <c r="F57" s="335"/>
      <c r="G57" s="336"/>
    </row>
    <row r="58" spans="1:7" x14ac:dyDescent="0.25">
      <c r="A58" s="329" t="s">
        <v>241</v>
      </c>
      <c r="B58" s="330"/>
      <c r="C58" s="330"/>
      <c r="D58" s="330"/>
      <c r="E58" s="330"/>
      <c r="F58" s="330"/>
      <c r="G58" s="331"/>
    </row>
    <row r="59" spans="1:7" ht="33.75" customHeight="1" x14ac:dyDescent="0.25">
      <c r="A59" s="199">
        <v>28</v>
      </c>
      <c r="B59" s="352" t="s">
        <v>285</v>
      </c>
      <c r="C59" s="353"/>
      <c r="D59" s="353"/>
      <c r="E59" s="353"/>
      <c r="F59" s="353"/>
      <c r="G59" s="354"/>
    </row>
    <row r="60" spans="1:7" x14ac:dyDescent="0.25">
      <c r="A60" s="329" t="s">
        <v>284</v>
      </c>
      <c r="B60" s="330"/>
      <c r="C60" s="330"/>
      <c r="D60" s="330"/>
      <c r="E60" s="330"/>
      <c r="F60" s="330"/>
      <c r="G60" s="331"/>
    </row>
    <row r="61" spans="1:7" ht="50.25" customHeight="1" x14ac:dyDescent="0.25">
      <c r="A61" s="187">
        <v>30</v>
      </c>
      <c r="B61" s="334" t="s">
        <v>283</v>
      </c>
      <c r="C61" s="335"/>
      <c r="D61" s="335"/>
      <c r="E61" s="335"/>
      <c r="F61" s="335"/>
      <c r="G61" s="336"/>
    </row>
    <row r="62" spans="1:7" x14ac:dyDescent="0.25">
      <c r="A62" s="329" t="s">
        <v>235</v>
      </c>
      <c r="B62" s="330"/>
      <c r="C62" s="330"/>
      <c r="D62" s="330"/>
      <c r="E62" s="330"/>
      <c r="F62" s="330"/>
      <c r="G62" s="331"/>
    </row>
    <row r="63" spans="1:7" x14ac:dyDescent="0.25">
      <c r="A63" s="201">
        <v>31</v>
      </c>
      <c r="B63" s="358" t="s">
        <v>282</v>
      </c>
      <c r="C63" s="359"/>
      <c r="D63" s="359"/>
      <c r="E63" s="359"/>
      <c r="F63" s="359"/>
      <c r="G63" s="360"/>
    </row>
    <row r="64" spans="1:7" x14ac:dyDescent="0.25">
      <c r="A64" s="201">
        <v>32</v>
      </c>
      <c r="B64" s="358" t="s">
        <v>282</v>
      </c>
      <c r="C64" s="359"/>
      <c r="D64" s="359"/>
      <c r="E64" s="359"/>
      <c r="F64" s="359"/>
      <c r="G64" s="360"/>
    </row>
    <row r="65" spans="1:7" x14ac:dyDescent="0.25">
      <c r="A65" s="201">
        <v>33</v>
      </c>
      <c r="B65" s="358" t="s">
        <v>282</v>
      </c>
      <c r="C65" s="359"/>
      <c r="D65" s="359"/>
      <c r="E65" s="359"/>
      <c r="F65" s="359"/>
      <c r="G65" s="360"/>
    </row>
    <row r="66" spans="1:7" x14ac:dyDescent="0.25">
      <c r="A66" s="201">
        <v>34</v>
      </c>
      <c r="B66" s="358" t="s">
        <v>282</v>
      </c>
      <c r="C66" s="359"/>
      <c r="D66" s="359"/>
      <c r="E66" s="359"/>
      <c r="F66" s="359"/>
      <c r="G66" s="360"/>
    </row>
    <row r="67" spans="1:7" x14ac:dyDescent="0.25">
      <c r="A67" s="201">
        <v>35</v>
      </c>
      <c r="B67" s="358" t="s">
        <v>282</v>
      </c>
      <c r="C67" s="359"/>
      <c r="D67" s="359"/>
      <c r="E67" s="359"/>
      <c r="F67" s="359"/>
      <c r="G67" s="360"/>
    </row>
    <row r="68" spans="1:7" x14ac:dyDescent="0.25">
      <c r="A68" s="201">
        <v>36</v>
      </c>
      <c r="B68" s="358" t="s">
        <v>282</v>
      </c>
      <c r="C68" s="359"/>
      <c r="D68" s="359"/>
      <c r="E68" s="359"/>
      <c r="F68" s="359"/>
      <c r="G68" s="360"/>
    </row>
    <row r="69" spans="1:7" x14ac:dyDescent="0.25">
      <c r="A69" s="199">
        <v>37</v>
      </c>
      <c r="B69" s="341" t="s">
        <v>281</v>
      </c>
      <c r="C69" s="341"/>
      <c r="D69" s="341"/>
      <c r="E69" s="341"/>
      <c r="F69" s="341"/>
      <c r="G69" s="341"/>
    </row>
    <row r="70" spans="1:7" x14ac:dyDescent="0.25">
      <c r="A70" s="199">
        <v>38</v>
      </c>
      <c r="B70" s="341" t="s">
        <v>280</v>
      </c>
      <c r="C70" s="341"/>
      <c r="D70" s="341"/>
      <c r="E70" s="341"/>
      <c r="F70" s="341"/>
      <c r="G70" s="341"/>
    </row>
    <row r="71" spans="1:7" x14ac:dyDescent="0.25">
      <c r="A71" s="199">
        <v>39</v>
      </c>
      <c r="B71" s="349" t="s">
        <v>233</v>
      </c>
      <c r="C71" s="350"/>
      <c r="D71" s="350"/>
      <c r="E71" s="350"/>
      <c r="F71" s="350"/>
      <c r="G71" s="351"/>
    </row>
    <row r="72" spans="1:7" x14ac:dyDescent="0.25">
      <c r="A72" s="199">
        <v>40</v>
      </c>
      <c r="B72" s="349" t="s">
        <v>233</v>
      </c>
      <c r="C72" s="350"/>
      <c r="D72" s="350"/>
      <c r="E72" s="350"/>
      <c r="F72" s="350"/>
      <c r="G72" s="351"/>
    </row>
    <row r="73" spans="1:7" x14ac:dyDescent="0.25">
      <c r="A73" s="329" t="s">
        <v>279</v>
      </c>
      <c r="B73" s="330"/>
      <c r="C73" s="330"/>
      <c r="D73" s="330"/>
      <c r="E73" s="330"/>
      <c r="F73" s="330"/>
      <c r="G73" s="331"/>
    </row>
    <row r="74" spans="1:7" x14ac:dyDescent="0.25">
      <c r="A74" s="361">
        <v>44</v>
      </c>
      <c r="B74" s="366" t="s">
        <v>278</v>
      </c>
      <c r="C74" s="367"/>
      <c r="D74" s="367"/>
      <c r="E74" s="367"/>
      <c r="F74" s="367"/>
      <c r="G74" s="368"/>
    </row>
    <row r="75" spans="1:7" ht="15.75" customHeight="1" x14ac:dyDescent="0.25">
      <c r="A75" s="362"/>
      <c r="B75" s="369"/>
      <c r="C75" s="370"/>
      <c r="D75" s="370"/>
      <c r="E75" s="370"/>
      <c r="F75" s="370"/>
      <c r="G75" s="371"/>
    </row>
    <row r="76" spans="1:7" ht="30.75" customHeight="1" x14ac:dyDescent="0.25">
      <c r="A76" s="362"/>
      <c r="B76" s="355" t="s">
        <v>277</v>
      </c>
      <c r="C76" s="355"/>
      <c r="D76" s="355"/>
      <c r="E76" s="355"/>
      <c r="F76" s="355"/>
      <c r="G76" s="355"/>
    </row>
    <row r="77" spans="1:7" ht="31.5" customHeight="1" x14ac:dyDescent="0.25">
      <c r="A77" s="363"/>
      <c r="B77" s="334" t="s">
        <v>276</v>
      </c>
      <c r="C77" s="335"/>
      <c r="D77" s="335"/>
      <c r="E77" s="335"/>
      <c r="F77" s="335"/>
      <c r="G77" s="336"/>
    </row>
    <row r="78" spans="1:7" ht="30.75" customHeight="1" x14ac:dyDescent="0.25">
      <c r="A78" s="361">
        <v>46</v>
      </c>
      <c r="B78" s="334" t="s">
        <v>275</v>
      </c>
      <c r="C78" s="335"/>
      <c r="D78" s="335"/>
      <c r="E78" s="335"/>
      <c r="F78" s="335"/>
      <c r="G78" s="336"/>
    </row>
    <row r="79" spans="1:7" ht="33" customHeight="1" x14ac:dyDescent="0.25">
      <c r="A79" s="362"/>
      <c r="B79" s="334" t="s">
        <v>275</v>
      </c>
      <c r="C79" s="335"/>
      <c r="D79" s="335"/>
      <c r="E79" s="335"/>
      <c r="F79" s="335"/>
      <c r="G79" s="336"/>
    </row>
    <row r="80" spans="1:7" x14ac:dyDescent="0.25">
      <c r="A80" s="362"/>
      <c r="B80" s="366" t="s">
        <v>275</v>
      </c>
      <c r="C80" s="367"/>
      <c r="D80" s="367"/>
      <c r="E80" s="367"/>
      <c r="F80" s="367"/>
      <c r="G80" s="368"/>
    </row>
    <row r="81" spans="1:7" x14ac:dyDescent="0.25">
      <c r="A81" s="363"/>
      <c r="B81" s="369"/>
      <c r="C81" s="370"/>
      <c r="D81" s="370"/>
      <c r="E81" s="370"/>
      <c r="F81" s="370"/>
      <c r="G81" s="371"/>
    </row>
    <row r="82" spans="1:7" x14ac:dyDescent="0.25">
      <c r="A82" s="199">
        <v>47</v>
      </c>
      <c r="B82" s="355" t="s">
        <v>274</v>
      </c>
      <c r="C82" s="355"/>
      <c r="D82" s="355"/>
      <c r="E82" s="355"/>
      <c r="F82" s="355"/>
      <c r="G82" s="355"/>
    </row>
    <row r="83" spans="1:7" ht="30.75" customHeight="1" x14ac:dyDescent="0.25">
      <c r="A83" s="199">
        <v>49</v>
      </c>
      <c r="B83" s="372" t="s">
        <v>273</v>
      </c>
      <c r="C83" s="373"/>
      <c r="D83" s="373"/>
      <c r="E83" s="373"/>
      <c r="F83" s="373"/>
      <c r="G83" s="374"/>
    </row>
    <row r="84" spans="1:7" x14ac:dyDescent="0.25">
      <c r="A84" s="329" t="s">
        <v>209</v>
      </c>
      <c r="B84" s="330"/>
      <c r="C84" s="330"/>
      <c r="D84" s="330"/>
      <c r="E84" s="330"/>
      <c r="F84" s="330"/>
      <c r="G84" s="331"/>
    </row>
    <row r="85" spans="1:7" ht="33" customHeight="1" x14ac:dyDescent="0.25">
      <c r="A85" s="199">
        <v>50</v>
      </c>
      <c r="B85" s="334" t="s">
        <v>272</v>
      </c>
      <c r="C85" s="335"/>
      <c r="D85" s="335"/>
      <c r="E85" s="335"/>
      <c r="F85" s="335"/>
      <c r="G85" s="336"/>
    </row>
    <row r="86" spans="1:7" x14ac:dyDescent="0.25">
      <c r="A86" s="329" t="s">
        <v>206</v>
      </c>
      <c r="B86" s="330"/>
      <c r="C86" s="330"/>
      <c r="D86" s="330"/>
      <c r="E86" s="330"/>
      <c r="F86" s="330"/>
      <c r="G86" s="331"/>
    </row>
    <row r="87" spans="1:7" x14ac:dyDescent="0.25">
      <c r="A87" s="332">
        <v>52</v>
      </c>
      <c r="B87" s="334" t="s">
        <v>271</v>
      </c>
      <c r="C87" s="335"/>
      <c r="D87" s="335"/>
      <c r="E87" s="335"/>
      <c r="F87" s="335"/>
      <c r="G87" s="336"/>
    </row>
    <row r="88" spans="1:7" ht="15.75" customHeight="1" x14ac:dyDescent="0.25">
      <c r="A88" s="364"/>
      <c r="B88" s="334" t="s">
        <v>205</v>
      </c>
      <c r="C88" s="335"/>
      <c r="D88" s="335"/>
      <c r="E88" s="335"/>
      <c r="F88" s="335"/>
      <c r="G88" s="336"/>
    </row>
    <row r="89" spans="1:7" ht="33" customHeight="1" x14ac:dyDescent="0.25">
      <c r="A89" s="365"/>
      <c r="B89" s="355" t="s">
        <v>204</v>
      </c>
      <c r="C89" s="355"/>
      <c r="D89" s="355"/>
      <c r="E89" s="355"/>
      <c r="F89" s="355"/>
      <c r="G89" s="355"/>
    </row>
    <row r="90" spans="1:7" x14ac:dyDescent="0.25">
      <c r="A90" s="329" t="s">
        <v>270</v>
      </c>
      <c r="B90" s="330"/>
      <c r="C90" s="330"/>
      <c r="D90" s="330"/>
      <c r="E90" s="330"/>
      <c r="F90" s="330"/>
      <c r="G90" s="331"/>
    </row>
    <row r="91" spans="1:7" x14ac:dyDescent="0.25">
      <c r="A91" s="342">
        <v>53</v>
      </c>
      <c r="B91" s="366" t="s">
        <v>269</v>
      </c>
      <c r="C91" s="367"/>
      <c r="D91" s="367"/>
      <c r="E91" s="367"/>
      <c r="F91" s="367"/>
      <c r="G91" s="368"/>
    </row>
    <row r="92" spans="1:7" x14ac:dyDescent="0.25">
      <c r="A92" s="342"/>
      <c r="B92" s="369"/>
      <c r="C92" s="370"/>
      <c r="D92" s="370"/>
      <c r="E92" s="370"/>
      <c r="F92" s="370"/>
      <c r="G92" s="371"/>
    </row>
    <row r="93" spans="1:7" x14ac:dyDescent="0.25">
      <c r="A93" s="380" t="s">
        <v>268</v>
      </c>
      <c r="B93" s="380"/>
      <c r="C93" s="380"/>
      <c r="D93" s="380"/>
      <c r="E93" s="380"/>
      <c r="F93" s="380"/>
      <c r="G93" s="380"/>
    </row>
    <row r="94" spans="1:7" x14ac:dyDescent="0.25">
      <c r="A94" s="381" t="s">
        <v>267</v>
      </c>
      <c r="B94" s="381"/>
      <c r="C94" s="381"/>
      <c r="D94" s="381"/>
      <c r="E94" s="381"/>
      <c r="F94" s="381"/>
      <c r="G94" s="381"/>
    </row>
    <row r="95" spans="1:7" ht="15.6" x14ac:dyDescent="0.3">
      <c r="A95" s="204"/>
      <c r="B95" s="204"/>
      <c r="C95" s="204"/>
      <c r="D95" s="204"/>
      <c r="E95" s="204"/>
      <c r="F95" s="204"/>
      <c r="G95" s="204"/>
    </row>
    <row r="96" spans="1:7" ht="108.75" customHeight="1" x14ac:dyDescent="0.25">
      <c r="A96" s="382" t="s">
        <v>266</v>
      </c>
      <c r="B96" s="382"/>
      <c r="C96" s="382"/>
      <c r="D96" s="382"/>
      <c r="E96" s="382"/>
      <c r="F96" s="382"/>
      <c r="G96" s="382"/>
    </row>
    <row r="97" spans="1:7" ht="50.25" x14ac:dyDescent="0.25">
      <c r="A97" s="198" t="s">
        <v>265</v>
      </c>
      <c r="B97" s="338" t="s">
        <v>264</v>
      </c>
      <c r="C97" s="338"/>
      <c r="D97" s="338"/>
      <c r="E97" s="338"/>
      <c r="F97" s="338"/>
      <c r="G97" s="338"/>
    </row>
    <row r="98" spans="1:7" x14ac:dyDescent="0.25">
      <c r="A98" s="375" t="s">
        <v>263</v>
      </c>
      <c r="B98" s="376"/>
      <c r="C98" s="376"/>
      <c r="D98" s="376"/>
      <c r="E98" s="376"/>
      <c r="F98" s="376"/>
      <c r="G98" s="377"/>
    </row>
    <row r="99" spans="1:7" ht="35.25" customHeight="1" x14ac:dyDescent="0.25">
      <c r="A99" s="198">
        <v>1</v>
      </c>
      <c r="B99" s="349" t="s">
        <v>262</v>
      </c>
      <c r="C99" s="378"/>
      <c r="D99" s="378"/>
      <c r="E99" s="378"/>
      <c r="F99" s="378"/>
      <c r="G99" s="379"/>
    </row>
    <row r="100" spans="1:7" x14ac:dyDescent="0.25">
      <c r="A100" s="375" t="s">
        <v>261</v>
      </c>
      <c r="B100" s="376"/>
      <c r="C100" s="376"/>
      <c r="D100" s="376"/>
      <c r="E100" s="376"/>
      <c r="F100" s="376"/>
      <c r="G100" s="377"/>
    </row>
    <row r="101" spans="1:7" x14ac:dyDescent="0.25">
      <c r="A101" s="198">
        <v>9</v>
      </c>
      <c r="B101" s="341" t="s">
        <v>260</v>
      </c>
      <c r="C101" s="341"/>
      <c r="D101" s="341"/>
      <c r="E101" s="341"/>
      <c r="F101" s="341"/>
      <c r="G101" s="341"/>
    </row>
    <row r="102" spans="1:7" x14ac:dyDescent="0.25">
      <c r="A102" s="375" t="s">
        <v>259</v>
      </c>
      <c r="B102" s="376"/>
      <c r="C102" s="376"/>
      <c r="D102" s="376"/>
      <c r="E102" s="376"/>
      <c r="F102" s="376"/>
      <c r="G102" s="377"/>
    </row>
    <row r="103" spans="1:7" x14ac:dyDescent="0.25">
      <c r="A103" s="338">
        <v>11</v>
      </c>
      <c r="B103" s="355" t="s">
        <v>258</v>
      </c>
      <c r="C103" s="355"/>
      <c r="D103" s="355"/>
      <c r="E103" s="355"/>
      <c r="F103" s="355"/>
      <c r="G103" s="355"/>
    </row>
    <row r="104" spans="1:7" ht="33" customHeight="1" x14ac:dyDescent="0.25">
      <c r="A104" s="338"/>
      <c r="B104" s="355" t="s">
        <v>257</v>
      </c>
      <c r="C104" s="355"/>
      <c r="D104" s="355"/>
      <c r="E104" s="355"/>
      <c r="F104" s="355"/>
      <c r="G104" s="355"/>
    </row>
    <row r="105" spans="1:7" ht="31.5" customHeight="1" x14ac:dyDescent="0.25">
      <c r="A105" s="338"/>
      <c r="B105" s="355" t="s">
        <v>256</v>
      </c>
      <c r="C105" s="355"/>
      <c r="D105" s="355"/>
      <c r="E105" s="355"/>
      <c r="F105" s="355"/>
      <c r="G105" s="355"/>
    </row>
    <row r="106" spans="1:7" ht="30.75" customHeight="1" x14ac:dyDescent="0.25">
      <c r="A106" s="338"/>
      <c r="B106" s="355" t="s">
        <v>255</v>
      </c>
      <c r="C106" s="355"/>
      <c r="D106" s="355"/>
      <c r="E106" s="355"/>
      <c r="F106" s="355"/>
      <c r="G106" s="355"/>
    </row>
    <row r="107" spans="1:7" ht="36" customHeight="1" x14ac:dyDescent="0.25">
      <c r="A107" s="338"/>
      <c r="B107" s="355" t="s">
        <v>254</v>
      </c>
      <c r="C107" s="355"/>
      <c r="D107" s="355"/>
      <c r="E107" s="355"/>
      <c r="F107" s="355"/>
      <c r="G107" s="355"/>
    </row>
    <row r="108" spans="1:7" ht="33" customHeight="1" x14ac:dyDescent="0.25">
      <c r="A108" s="198">
        <v>12</v>
      </c>
      <c r="B108" s="366" t="s">
        <v>253</v>
      </c>
      <c r="C108" s="367"/>
      <c r="D108" s="367"/>
      <c r="E108" s="367"/>
      <c r="F108" s="367"/>
      <c r="G108" s="368"/>
    </row>
    <row r="109" spans="1:7" ht="30" customHeight="1" x14ac:dyDescent="0.25">
      <c r="A109" s="332">
        <v>13</v>
      </c>
      <c r="B109" s="366" t="s">
        <v>252</v>
      </c>
      <c r="C109" s="367"/>
      <c r="D109" s="367"/>
      <c r="E109" s="367"/>
      <c r="F109" s="367"/>
      <c r="G109" s="368"/>
    </row>
    <row r="110" spans="1:7" ht="6.6" customHeight="1" x14ac:dyDescent="0.25">
      <c r="A110" s="365"/>
      <c r="B110" s="369"/>
      <c r="C110" s="370"/>
      <c r="D110" s="370"/>
      <c r="E110" s="370"/>
      <c r="F110" s="370"/>
      <c r="G110" s="371"/>
    </row>
    <row r="111" spans="1:7" ht="33" customHeight="1" x14ac:dyDescent="0.25">
      <c r="A111" s="202">
        <v>15</v>
      </c>
      <c r="B111" s="334" t="s">
        <v>251</v>
      </c>
      <c r="C111" s="383"/>
      <c r="D111" s="383"/>
      <c r="E111" s="383"/>
      <c r="F111" s="383"/>
      <c r="G111" s="384"/>
    </row>
    <row r="112" spans="1:7" ht="33" customHeight="1" x14ac:dyDescent="0.25">
      <c r="A112" s="198">
        <v>16</v>
      </c>
      <c r="B112" s="355" t="s">
        <v>250</v>
      </c>
      <c r="C112" s="355"/>
      <c r="D112" s="355"/>
      <c r="E112" s="355"/>
      <c r="F112" s="355"/>
      <c r="G112" s="355"/>
    </row>
    <row r="113" spans="1:7" x14ac:dyDescent="0.25">
      <c r="A113" s="375" t="s">
        <v>249</v>
      </c>
      <c r="B113" s="376"/>
      <c r="C113" s="376"/>
      <c r="D113" s="376"/>
      <c r="E113" s="376"/>
      <c r="F113" s="376"/>
      <c r="G113" s="377"/>
    </row>
    <row r="114" spans="1:7" ht="36" customHeight="1" x14ac:dyDescent="0.25">
      <c r="A114" s="200">
        <v>17</v>
      </c>
      <c r="B114" s="366" t="s">
        <v>248</v>
      </c>
      <c r="C114" s="367"/>
      <c r="D114" s="367"/>
      <c r="E114" s="367"/>
      <c r="F114" s="367"/>
      <c r="G114" s="368"/>
    </row>
    <row r="115" spans="1:7" ht="30.75" customHeight="1" x14ac:dyDescent="0.25">
      <c r="A115" s="200">
        <v>18</v>
      </c>
      <c r="B115" s="366" t="s">
        <v>247</v>
      </c>
      <c r="C115" s="367"/>
      <c r="D115" s="367"/>
      <c r="E115" s="367"/>
      <c r="F115" s="367"/>
      <c r="G115" s="368"/>
    </row>
    <row r="116" spans="1:7" ht="30.75" customHeight="1" x14ac:dyDescent="0.25">
      <c r="A116" s="198">
        <v>19</v>
      </c>
      <c r="B116" s="355" t="s">
        <v>246</v>
      </c>
      <c r="C116" s="355"/>
      <c r="D116" s="355"/>
      <c r="E116" s="355"/>
      <c r="F116" s="355"/>
      <c r="G116" s="355"/>
    </row>
    <row r="117" spans="1:7" ht="31.5" customHeight="1" x14ac:dyDescent="0.25">
      <c r="A117" s="198">
        <v>21</v>
      </c>
      <c r="B117" s="355" t="s">
        <v>245</v>
      </c>
      <c r="C117" s="355"/>
      <c r="D117" s="355"/>
      <c r="E117" s="355"/>
      <c r="F117" s="355"/>
      <c r="G117" s="355"/>
    </row>
    <row r="118" spans="1:7" ht="49.5" customHeight="1" x14ac:dyDescent="0.25">
      <c r="A118" s="203">
        <v>22</v>
      </c>
      <c r="B118" s="334" t="s">
        <v>244</v>
      </c>
      <c r="C118" s="335"/>
      <c r="D118" s="335"/>
      <c r="E118" s="335"/>
      <c r="F118" s="335"/>
      <c r="G118" s="336"/>
    </row>
    <row r="119" spans="1:7" x14ac:dyDescent="0.25">
      <c r="A119" s="375" t="s">
        <v>243</v>
      </c>
      <c r="B119" s="376"/>
      <c r="C119" s="376"/>
      <c r="D119" s="376"/>
      <c r="E119" s="376"/>
      <c r="F119" s="376"/>
      <c r="G119" s="377"/>
    </row>
    <row r="120" spans="1:7" x14ac:dyDescent="0.25">
      <c r="A120" s="198">
        <v>26</v>
      </c>
      <c r="B120" s="341" t="s">
        <v>242</v>
      </c>
      <c r="C120" s="385"/>
      <c r="D120" s="385"/>
      <c r="E120" s="385"/>
      <c r="F120" s="385"/>
      <c r="G120" s="385"/>
    </row>
    <row r="121" spans="1:7" x14ac:dyDescent="0.25">
      <c r="A121" s="198">
        <v>27</v>
      </c>
      <c r="B121" s="341" t="s">
        <v>242</v>
      </c>
      <c r="C121" s="341"/>
      <c r="D121" s="341"/>
      <c r="E121" s="341"/>
      <c r="F121" s="341"/>
      <c r="G121" s="341"/>
    </row>
    <row r="122" spans="1:7" x14ac:dyDescent="0.25">
      <c r="A122" s="375" t="s">
        <v>241</v>
      </c>
      <c r="B122" s="396"/>
      <c r="C122" s="396"/>
      <c r="D122" s="396"/>
      <c r="E122" s="396"/>
      <c r="F122" s="396"/>
      <c r="G122" s="397"/>
    </row>
    <row r="123" spans="1:7" ht="46.5" customHeight="1" x14ac:dyDescent="0.25">
      <c r="A123" s="198">
        <v>32</v>
      </c>
      <c r="B123" s="334" t="s">
        <v>240</v>
      </c>
      <c r="C123" s="335"/>
      <c r="D123" s="335"/>
      <c r="E123" s="335"/>
      <c r="F123" s="335"/>
      <c r="G123" s="336"/>
    </row>
    <row r="124" spans="1:7" x14ac:dyDescent="0.25">
      <c r="A124" s="375" t="s">
        <v>239</v>
      </c>
      <c r="B124" s="376"/>
      <c r="C124" s="376"/>
      <c r="D124" s="376"/>
      <c r="E124" s="376"/>
      <c r="F124" s="376"/>
      <c r="G124" s="377"/>
    </row>
    <row r="125" spans="1:7" x14ac:dyDescent="0.25">
      <c r="A125" s="198">
        <v>28</v>
      </c>
      <c r="B125" s="349" t="s">
        <v>238</v>
      </c>
      <c r="C125" s="378"/>
      <c r="D125" s="378"/>
      <c r="E125" s="378"/>
      <c r="F125" s="378"/>
      <c r="G125" s="379"/>
    </row>
    <row r="126" spans="1:7" x14ac:dyDescent="0.25">
      <c r="A126" s="198">
        <v>29</v>
      </c>
      <c r="B126" s="341" t="s">
        <v>237</v>
      </c>
      <c r="C126" s="341"/>
      <c r="D126" s="341"/>
      <c r="E126" s="341"/>
      <c r="F126" s="341"/>
      <c r="G126" s="341"/>
    </row>
    <row r="127" spans="1:7" x14ac:dyDescent="0.25">
      <c r="A127" s="198">
        <v>30</v>
      </c>
      <c r="B127" s="341" t="s">
        <v>236</v>
      </c>
      <c r="C127" s="341"/>
      <c r="D127" s="341"/>
      <c r="E127" s="341"/>
      <c r="F127" s="341"/>
      <c r="G127" s="341"/>
    </row>
    <row r="128" spans="1:7" x14ac:dyDescent="0.25">
      <c r="A128" s="375" t="s">
        <v>235</v>
      </c>
      <c r="B128" s="376"/>
      <c r="C128" s="376"/>
      <c r="D128" s="376"/>
      <c r="E128" s="376"/>
      <c r="F128" s="376"/>
      <c r="G128" s="377"/>
    </row>
    <row r="129" spans="1:7" x14ac:dyDescent="0.25">
      <c r="A129" s="198">
        <v>35</v>
      </c>
      <c r="B129" s="339" t="s">
        <v>234</v>
      </c>
      <c r="C129" s="339"/>
      <c r="D129" s="339"/>
      <c r="E129" s="339"/>
      <c r="F129" s="339"/>
      <c r="G129" s="339"/>
    </row>
    <row r="130" spans="1:7" x14ac:dyDescent="0.25">
      <c r="A130" s="198">
        <v>36</v>
      </c>
      <c r="B130" s="358" t="s">
        <v>233</v>
      </c>
      <c r="C130" s="359"/>
      <c r="D130" s="359"/>
      <c r="E130" s="359"/>
      <c r="F130" s="359"/>
      <c r="G130" s="360"/>
    </row>
    <row r="131" spans="1:7" x14ac:dyDescent="0.25">
      <c r="A131" s="338">
        <v>37</v>
      </c>
      <c r="B131" s="341" t="s">
        <v>232</v>
      </c>
      <c r="C131" s="341"/>
      <c r="D131" s="341"/>
      <c r="E131" s="341"/>
      <c r="F131" s="341"/>
      <c r="G131" s="341"/>
    </row>
    <row r="132" spans="1:7" x14ac:dyDescent="0.25">
      <c r="A132" s="338"/>
      <c r="B132" s="341" t="s">
        <v>231</v>
      </c>
      <c r="C132" s="341"/>
      <c r="D132" s="341"/>
      <c r="E132" s="341"/>
      <c r="F132" s="341"/>
      <c r="G132" s="341"/>
    </row>
    <row r="133" spans="1:7" x14ac:dyDescent="0.25">
      <c r="A133" s="198">
        <v>38</v>
      </c>
      <c r="B133" s="341" t="s">
        <v>230</v>
      </c>
      <c r="C133" s="341"/>
      <c r="D133" s="341"/>
      <c r="E133" s="341"/>
      <c r="F133" s="341"/>
      <c r="G133" s="341"/>
    </row>
    <row r="134" spans="1:7" x14ac:dyDescent="0.25">
      <c r="A134" s="198">
        <v>40</v>
      </c>
      <c r="B134" s="349" t="s">
        <v>229</v>
      </c>
      <c r="C134" s="350"/>
      <c r="D134" s="350"/>
      <c r="E134" s="350"/>
      <c r="F134" s="350"/>
      <c r="G134" s="351"/>
    </row>
    <row r="135" spans="1:7" x14ac:dyDescent="0.25">
      <c r="A135" s="198">
        <v>42</v>
      </c>
      <c r="B135" s="386" t="s">
        <v>228</v>
      </c>
      <c r="C135" s="387"/>
      <c r="D135" s="387"/>
      <c r="E135" s="387"/>
      <c r="F135" s="387"/>
      <c r="G135" s="388"/>
    </row>
    <row r="136" spans="1:7" ht="32.25" customHeight="1" x14ac:dyDescent="0.25">
      <c r="A136" s="375" t="s">
        <v>227</v>
      </c>
      <c r="B136" s="376"/>
      <c r="C136" s="376"/>
      <c r="D136" s="376"/>
      <c r="E136" s="376"/>
      <c r="F136" s="376"/>
      <c r="G136" s="377"/>
    </row>
    <row r="137" spans="1:7" x14ac:dyDescent="0.25">
      <c r="A137" s="338">
        <v>45</v>
      </c>
      <c r="B137" s="341" t="s">
        <v>226</v>
      </c>
      <c r="C137" s="341"/>
      <c r="D137" s="341"/>
      <c r="E137" s="341"/>
      <c r="F137" s="341"/>
      <c r="G137" s="341"/>
    </row>
    <row r="138" spans="1:7" x14ac:dyDescent="0.25">
      <c r="A138" s="338"/>
      <c r="B138" s="341" t="s">
        <v>225</v>
      </c>
      <c r="C138" s="341"/>
      <c r="D138" s="341"/>
      <c r="E138" s="341"/>
      <c r="F138" s="341"/>
      <c r="G138" s="341"/>
    </row>
    <row r="139" spans="1:7" x14ac:dyDescent="0.25">
      <c r="A139" s="338"/>
      <c r="B139" s="341" t="s">
        <v>224</v>
      </c>
      <c r="C139" s="341"/>
      <c r="D139" s="341"/>
      <c r="E139" s="341"/>
      <c r="F139" s="341"/>
      <c r="G139" s="341"/>
    </row>
    <row r="140" spans="1:7" x14ac:dyDescent="0.25">
      <c r="A140" s="338"/>
      <c r="B140" s="341" t="s">
        <v>223</v>
      </c>
      <c r="C140" s="341"/>
      <c r="D140" s="341"/>
      <c r="E140" s="341"/>
      <c r="F140" s="341"/>
      <c r="G140" s="341"/>
    </row>
    <row r="141" spans="1:7" x14ac:dyDescent="0.25">
      <c r="A141" s="375" t="s">
        <v>222</v>
      </c>
      <c r="B141" s="376"/>
      <c r="C141" s="376"/>
      <c r="D141" s="376"/>
      <c r="E141" s="376"/>
      <c r="F141" s="376"/>
      <c r="G141" s="377"/>
    </row>
    <row r="142" spans="1:7" ht="33.75" customHeight="1" x14ac:dyDescent="0.25">
      <c r="A142" s="198">
        <v>48</v>
      </c>
      <c r="B142" s="355" t="s">
        <v>221</v>
      </c>
      <c r="C142" s="355"/>
      <c r="D142" s="355"/>
      <c r="E142" s="355"/>
      <c r="F142" s="355"/>
      <c r="G142" s="355"/>
    </row>
    <row r="143" spans="1:7" ht="38.25" customHeight="1" x14ac:dyDescent="0.25">
      <c r="A143" s="338">
        <v>49</v>
      </c>
      <c r="B143" s="355" t="s">
        <v>220</v>
      </c>
      <c r="C143" s="355"/>
      <c r="D143" s="355"/>
      <c r="E143" s="355"/>
      <c r="F143" s="355"/>
      <c r="G143" s="355"/>
    </row>
    <row r="144" spans="1:7" ht="36" customHeight="1" x14ac:dyDescent="0.25">
      <c r="A144" s="338"/>
      <c r="B144" s="355" t="s">
        <v>219</v>
      </c>
      <c r="C144" s="355"/>
      <c r="D144" s="355"/>
      <c r="E144" s="355"/>
      <c r="F144" s="355"/>
      <c r="G144" s="355"/>
    </row>
    <row r="145" spans="1:7" ht="36" customHeight="1" x14ac:dyDescent="0.25">
      <c r="A145" s="198">
        <v>50</v>
      </c>
      <c r="B145" s="355" t="s">
        <v>218</v>
      </c>
      <c r="C145" s="355"/>
      <c r="D145" s="355"/>
      <c r="E145" s="355"/>
      <c r="F145" s="355"/>
      <c r="G145" s="355"/>
    </row>
    <row r="146" spans="1:7" ht="36" customHeight="1" x14ac:dyDescent="0.25">
      <c r="A146" s="338">
        <v>51</v>
      </c>
      <c r="B146" s="355" t="s">
        <v>217</v>
      </c>
      <c r="C146" s="355"/>
      <c r="D146" s="355"/>
      <c r="E146" s="355"/>
      <c r="F146" s="355"/>
      <c r="G146" s="355"/>
    </row>
    <row r="147" spans="1:7" ht="36.75" customHeight="1" x14ac:dyDescent="0.25">
      <c r="A147" s="338"/>
      <c r="B147" s="355" t="s">
        <v>216</v>
      </c>
      <c r="C147" s="355"/>
      <c r="D147" s="355"/>
      <c r="E147" s="355"/>
      <c r="F147" s="355"/>
      <c r="G147" s="355"/>
    </row>
    <row r="148" spans="1:7" x14ac:dyDescent="0.25">
      <c r="A148" s="338"/>
      <c r="B148" s="355" t="s">
        <v>215</v>
      </c>
      <c r="C148" s="355"/>
      <c r="D148" s="355"/>
      <c r="E148" s="355"/>
      <c r="F148" s="355"/>
      <c r="G148" s="355"/>
    </row>
    <row r="149" spans="1:7" x14ac:dyDescent="0.25">
      <c r="A149" s="198">
        <v>54</v>
      </c>
      <c r="B149" s="355" t="s">
        <v>214</v>
      </c>
      <c r="C149" s="355"/>
      <c r="D149" s="355"/>
      <c r="E149" s="355"/>
      <c r="F149" s="355"/>
      <c r="G149" s="355"/>
    </row>
    <row r="150" spans="1:7" x14ac:dyDescent="0.25">
      <c r="A150" s="375" t="s">
        <v>213</v>
      </c>
      <c r="B150" s="376"/>
      <c r="C150" s="376"/>
      <c r="D150" s="376"/>
      <c r="E150" s="376"/>
      <c r="F150" s="376"/>
      <c r="G150" s="377"/>
    </row>
    <row r="151" spans="1:7" x14ac:dyDescent="0.25">
      <c r="A151" s="198">
        <v>56</v>
      </c>
      <c r="B151" s="341" t="s">
        <v>212</v>
      </c>
      <c r="C151" s="341"/>
      <c r="D151" s="341"/>
      <c r="E151" s="341"/>
      <c r="F151" s="341"/>
      <c r="G151" s="341"/>
    </row>
    <row r="152" spans="1:7" x14ac:dyDescent="0.25">
      <c r="A152" s="332">
        <v>57</v>
      </c>
      <c r="B152" s="341" t="s">
        <v>211</v>
      </c>
      <c r="C152" s="341"/>
      <c r="D152" s="341"/>
      <c r="E152" s="341"/>
      <c r="F152" s="341"/>
      <c r="G152" s="341"/>
    </row>
    <row r="153" spans="1:7" x14ac:dyDescent="0.25">
      <c r="A153" s="333"/>
      <c r="B153" s="341" t="s">
        <v>210</v>
      </c>
      <c r="C153" s="341"/>
      <c r="D153" s="341"/>
      <c r="E153" s="341"/>
      <c r="F153" s="341"/>
      <c r="G153" s="341"/>
    </row>
    <row r="154" spans="1:7" x14ac:dyDescent="0.25">
      <c r="A154" s="392" t="s">
        <v>209</v>
      </c>
      <c r="B154" s="393"/>
      <c r="C154" s="393"/>
      <c r="D154" s="393"/>
      <c r="E154" s="393"/>
      <c r="F154" s="393"/>
      <c r="G154" s="394"/>
    </row>
    <row r="155" spans="1:7" x14ac:dyDescent="0.25">
      <c r="A155" s="186">
        <v>61</v>
      </c>
      <c r="B155" s="349" t="s">
        <v>208</v>
      </c>
      <c r="C155" s="350"/>
      <c r="D155" s="350"/>
      <c r="E155" s="350"/>
      <c r="F155" s="350"/>
      <c r="G155" s="351"/>
    </row>
    <row r="156" spans="1:7" x14ac:dyDescent="0.25">
      <c r="A156" s="186">
        <v>62</v>
      </c>
      <c r="B156" s="349" t="s">
        <v>207</v>
      </c>
      <c r="C156" s="350"/>
      <c r="D156" s="350"/>
      <c r="E156" s="350"/>
      <c r="F156" s="350"/>
      <c r="G156" s="351"/>
    </row>
    <row r="157" spans="1:7" x14ac:dyDescent="0.25">
      <c r="A157" s="375" t="s">
        <v>206</v>
      </c>
      <c r="B157" s="390"/>
      <c r="C157" s="390"/>
      <c r="D157" s="390"/>
      <c r="E157" s="390"/>
      <c r="F157" s="390"/>
      <c r="G157" s="391"/>
    </row>
    <row r="158" spans="1:7" ht="18.75" customHeight="1" x14ac:dyDescent="0.25">
      <c r="A158" s="200">
        <v>64</v>
      </c>
      <c r="B158" s="355" t="s">
        <v>205</v>
      </c>
      <c r="C158" s="355"/>
      <c r="D158" s="355"/>
      <c r="E158" s="355"/>
      <c r="F158" s="355"/>
      <c r="G158" s="355"/>
    </row>
    <row r="159" spans="1:7" ht="34.5" customHeight="1" x14ac:dyDescent="0.25">
      <c r="A159" s="202">
        <v>65</v>
      </c>
      <c r="B159" s="355" t="s">
        <v>204</v>
      </c>
      <c r="C159" s="395"/>
      <c r="D159" s="395"/>
      <c r="E159" s="395"/>
      <c r="F159" s="395"/>
      <c r="G159" s="395"/>
    </row>
    <row r="162" spans="1:7" x14ac:dyDescent="0.25">
      <c r="A162" s="389" t="s">
        <v>327</v>
      </c>
      <c r="B162" s="389"/>
      <c r="C162" s="389"/>
      <c r="D162" s="389"/>
      <c r="E162" s="389"/>
      <c r="F162" s="389"/>
      <c r="G162" s="389"/>
    </row>
  </sheetData>
  <mergeCells count="164">
    <mergeCell ref="B149:G149"/>
    <mergeCell ref="B145:G145"/>
    <mergeCell ref="A8:G8"/>
    <mergeCell ref="A162:G162"/>
    <mergeCell ref="B153:G153"/>
    <mergeCell ref="A157:G157"/>
    <mergeCell ref="B158:G158"/>
    <mergeCell ref="A152:A153"/>
    <mergeCell ref="B152:G152"/>
    <mergeCell ref="A154:G154"/>
    <mergeCell ref="B155:G155"/>
    <mergeCell ref="B156:G156"/>
    <mergeCell ref="B159:G159"/>
    <mergeCell ref="B115:G115"/>
    <mergeCell ref="B118:G118"/>
    <mergeCell ref="A122:G122"/>
    <mergeCell ref="A150:G150"/>
    <mergeCell ref="B151:G151"/>
    <mergeCell ref="A143:A144"/>
    <mergeCell ref="B143:G143"/>
    <mergeCell ref="A136:G136"/>
    <mergeCell ref="B129:G129"/>
    <mergeCell ref="A146:A148"/>
    <mergeCell ref="B146:G146"/>
    <mergeCell ref="B148:G148"/>
    <mergeCell ref="B135:G135"/>
    <mergeCell ref="B134:G134"/>
    <mergeCell ref="B131:G131"/>
    <mergeCell ref="B125:G125"/>
    <mergeCell ref="B126:G126"/>
    <mergeCell ref="B127:G127"/>
    <mergeCell ref="A128:G128"/>
    <mergeCell ref="B130:G130"/>
    <mergeCell ref="A131:A132"/>
    <mergeCell ref="B144:G144"/>
    <mergeCell ref="B138:G138"/>
    <mergeCell ref="B139:G139"/>
    <mergeCell ref="B140:G140"/>
    <mergeCell ref="A141:G141"/>
    <mergeCell ref="B142:G142"/>
    <mergeCell ref="A137:A140"/>
    <mergeCell ref="B137:G137"/>
    <mergeCell ref="B147:G147"/>
    <mergeCell ref="B114:G114"/>
    <mergeCell ref="B111:G111"/>
    <mergeCell ref="B112:G112"/>
    <mergeCell ref="A113:G113"/>
    <mergeCell ref="B132:G132"/>
    <mergeCell ref="B133:G133"/>
    <mergeCell ref="B105:G105"/>
    <mergeCell ref="B106:G106"/>
    <mergeCell ref="B107:G107"/>
    <mergeCell ref="B121:G121"/>
    <mergeCell ref="A124:G124"/>
    <mergeCell ref="B123:G123"/>
    <mergeCell ref="A119:G119"/>
    <mergeCell ref="B120:G120"/>
    <mergeCell ref="B116:G116"/>
    <mergeCell ref="B117:G117"/>
    <mergeCell ref="A90:G90"/>
    <mergeCell ref="A91:A92"/>
    <mergeCell ref="B91:G92"/>
    <mergeCell ref="B108:G108"/>
    <mergeCell ref="A109:A110"/>
    <mergeCell ref="B109:G110"/>
    <mergeCell ref="A102:G102"/>
    <mergeCell ref="A103:A107"/>
    <mergeCell ref="B103:G103"/>
    <mergeCell ref="B104:G104"/>
    <mergeCell ref="A98:G98"/>
    <mergeCell ref="B99:G99"/>
    <mergeCell ref="A100:G100"/>
    <mergeCell ref="B101:G101"/>
    <mergeCell ref="A93:G93"/>
    <mergeCell ref="A94:G94"/>
    <mergeCell ref="A96:G96"/>
    <mergeCell ref="B97:G97"/>
    <mergeCell ref="B76:G76"/>
    <mergeCell ref="B77:G77"/>
    <mergeCell ref="A78:A81"/>
    <mergeCell ref="B78:G78"/>
    <mergeCell ref="B70:G70"/>
    <mergeCell ref="B71:G71"/>
    <mergeCell ref="B72:G72"/>
    <mergeCell ref="A87:A89"/>
    <mergeCell ref="B87:G87"/>
    <mergeCell ref="B88:G88"/>
    <mergeCell ref="B79:G79"/>
    <mergeCell ref="B80:G81"/>
    <mergeCell ref="B82:G82"/>
    <mergeCell ref="B83:G83"/>
    <mergeCell ref="B89:G89"/>
    <mergeCell ref="A73:G73"/>
    <mergeCell ref="A74:A77"/>
    <mergeCell ref="B74:G75"/>
    <mergeCell ref="A84:G84"/>
    <mergeCell ref="B85:G85"/>
    <mergeCell ref="A86:G86"/>
    <mergeCell ref="A50:G50"/>
    <mergeCell ref="B51:G51"/>
    <mergeCell ref="B68:G68"/>
    <mergeCell ref="B69:G69"/>
    <mergeCell ref="B66:G66"/>
    <mergeCell ref="B67:G67"/>
    <mergeCell ref="B64:G64"/>
    <mergeCell ref="B65:G65"/>
    <mergeCell ref="B59:G59"/>
    <mergeCell ref="A60:G60"/>
    <mergeCell ref="B55:G55"/>
    <mergeCell ref="B56:G56"/>
    <mergeCell ref="B57:G57"/>
    <mergeCell ref="A58:G58"/>
    <mergeCell ref="B52:G52"/>
    <mergeCell ref="A53:G53"/>
    <mergeCell ref="A54:A56"/>
    <mergeCell ref="B54:G54"/>
    <mergeCell ref="B61:G61"/>
    <mergeCell ref="A62:G62"/>
    <mergeCell ref="B63:G63"/>
    <mergeCell ref="B39:G39"/>
    <mergeCell ref="B40:G40"/>
    <mergeCell ref="A41:G41"/>
    <mergeCell ref="B42:G42"/>
    <mergeCell ref="B43:G43"/>
    <mergeCell ref="A44:G44"/>
    <mergeCell ref="B47:G47"/>
    <mergeCell ref="A48:A49"/>
    <mergeCell ref="B48:G49"/>
    <mergeCell ref="A45:A47"/>
    <mergeCell ref="B45:G45"/>
    <mergeCell ref="B46:G46"/>
    <mergeCell ref="B36:G36"/>
    <mergeCell ref="B37:G37"/>
    <mergeCell ref="B38:G38"/>
    <mergeCell ref="B30:G30"/>
    <mergeCell ref="A31:G31"/>
    <mergeCell ref="A32:A38"/>
    <mergeCell ref="B32:G32"/>
    <mergeCell ref="A20:G20"/>
    <mergeCell ref="A21:A22"/>
    <mergeCell ref="B21:G22"/>
    <mergeCell ref="B33:G33"/>
    <mergeCell ref="B34:G34"/>
    <mergeCell ref="B35:G35"/>
    <mergeCell ref="A28:G28"/>
    <mergeCell ref="B29:G29"/>
    <mergeCell ref="A23:G23"/>
    <mergeCell ref="B24:G24"/>
    <mergeCell ref="A25:G25"/>
    <mergeCell ref="A26:A27"/>
    <mergeCell ref="B26:G26"/>
    <mergeCell ref="B27:G27"/>
    <mergeCell ref="A17:G17"/>
    <mergeCell ref="A18:A19"/>
    <mergeCell ref="B18:G18"/>
    <mergeCell ref="B19:G19"/>
    <mergeCell ref="A7:G7"/>
    <mergeCell ref="A9:G9"/>
    <mergeCell ref="A10:G10"/>
    <mergeCell ref="A15:G15"/>
    <mergeCell ref="B16:G16"/>
    <mergeCell ref="B12:G12"/>
    <mergeCell ref="A13:G13"/>
    <mergeCell ref="B14:G14"/>
  </mergeCells>
  <printOptions horizontalCentered="1"/>
  <pageMargins left="0.39370078740157483" right="0.39370078740157483" top="0.98425196850393704" bottom="0.39370078740157483" header="0.31496062992125984" footer="0.31496062992125984"/>
  <pageSetup paperSize="9" scale="68" orientation="landscape" r:id="rId1"/>
  <headerFooter differentFirst="1">
    <oddHeader>&amp;C&amp;P</oddHeader>
  </headerFooter>
  <rowBreaks count="3" manualBreakCount="3">
    <brk id="30" max="6" man="1"/>
    <brk id="85" max="6" man="1"/>
    <brk id="140" max="6" man="1"/>
  </rowBreaks>
  <colBreaks count="1" manualBreakCount="1">
    <brk id="7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view="pageBreakPreview" topLeftCell="A5" zoomScale="60" zoomScaleNormal="100" workbookViewId="0">
      <selection activeCell="M18" sqref="M18"/>
    </sheetView>
  </sheetViews>
  <sheetFormatPr defaultColWidth="9.140625" defaultRowHeight="15" x14ac:dyDescent="0.25"/>
  <cols>
    <col min="1" max="1" width="7.5703125" style="191" customWidth="1"/>
    <col min="2" max="3" width="9.140625" style="191"/>
    <col min="4" max="4" width="5.140625" style="191" customWidth="1"/>
    <col min="5" max="6" width="9.140625" style="191"/>
    <col min="7" max="7" width="14.85546875" style="191" customWidth="1"/>
    <col min="8" max="8" width="13.7109375" style="191" customWidth="1"/>
    <col min="9" max="9" width="23" style="191" customWidth="1"/>
    <col min="10" max="16384" width="9.140625" style="191"/>
  </cols>
  <sheetData>
    <row r="1" spans="1:17" ht="100.5" customHeight="1" x14ac:dyDescent="0.25">
      <c r="B1" s="195"/>
      <c r="C1" s="195"/>
      <c r="D1" s="195"/>
      <c r="E1" s="398" t="s">
        <v>346</v>
      </c>
      <c r="F1" s="398"/>
      <c r="G1" s="398"/>
      <c r="H1" s="398"/>
      <c r="I1" s="398"/>
    </row>
    <row r="2" spans="1:17" ht="13.9" x14ac:dyDescent="0.25">
      <c r="B2" s="195"/>
      <c r="C2" s="195"/>
      <c r="D2" s="195"/>
      <c r="E2" s="195"/>
      <c r="F2" s="195"/>
      <c r="G2" s="195"/>
      <c r="H2" s="195"/>
      <c r="I2" s="195"/>
    </row>
    <row r="3" spans="1:17" ht="13.9" x14ac:dyDescent="0.25">
      <c r="B3" s="195"/>
      <c r="C3" s="195"/>
      <c r="D3" s="195"/>
      <c r="E3" s="195"/>
      <c r="F3" s="195"/>
      <c r="G3" s="195"/>
      <c r="H3" s="195"/>
      <c r="I3" s="195"/>
    </row>
    <row r="4" spans="1:17" ht="15" customHeight="1" x14ac:dyDescent="0.25">
      <c r="A4" s="419" t="s">
        <v>347</v>
      </c>
      <c r="B4" s="419"/>
      <c r="C4" s="419"/>
      <c r="D4" s="419"/>
      <c r="E4" s="419"/>
      <c r="F4" s="419"/>
      <c r="G4" s="419"/>
      <c r="H4" s="419"/>
      <c r="I4" s="419"/>
    </row>
    <row r="5" spans="1:17" x14ac:dyDescent="0.25">
      <c r="A5" s="419"/>
      <c r="B5" s="419"/>
      <c r="C5" s="419"/>
      <c r="D5" s="419"/>
      <c r="E5" s="419"/>
      <c r="F5" s="419"/>
      <c r="G5" s="419"/>
      <c r="H5" s="419"/>
      <c r="I5" s="419"/>
    </row>
    <row r="6" spans="1:17" ht="37.9" customHeight="1" x14ac:dyDescent="0.25">
      <c r="A6" s="419"/>
      <c r="B6" s="419"/>
      <c r="C6" s="419"/>
      <c r="D6" s="419"/>
      <c r="E6" s="419"/>
      <c r="F6" s="419"/>
      <c r="G6" s="419"/>
      <c r="H6" s="419"/>
      <c r="I6" s="419"/>
    </row>
    <row r="7" spans="1:17" ht="15" hidden="1" customHeight="1" x14ac:dyDescent="0.25">
      <c r="A7" s="419"/>
      <c r="B7" s="419"/>
      <c r="C7" s="419"/>
      <c r="D7" s="419"/>
      <c r="E7" s="419"/>
      <c r="F7" s="419"/>
      <c r="G7" s="419"/>
      <c r="H7" s="419"/>
      <c r="I7" s="419"/>
    </row>
    <row r="9" spans="1:17" ht="64.150000000000006" customHeight="1" x14ac:dyDescent="0.25">
      <c r="A9" s="196" t="s">
        <v>349</v>
      </c>
      <c r="B9" s="416" t="s">
        <v>345</v>
      </c>
      <c r="C9" s="417"/>
      <c r="D9" s="417"/>
      <c r="E9" s="417"/>
      <c r="F9" s="417"/>
      <c r="G9" s="418"/>
      <c r="H9" s="420" t="s">
        <v>344</v>
      </c>
      <c r="I9" s="421"/>
      <c r="M9" s="398"/>
      <c r="N9" s="398"/>
      <c r="O9" s="398"/>
      <c r="P9" s="398"/>
      <c r="Q9" s="398"/>
    </row>
    <row r="10" spans="1:17" ht="14.45" customHeight="1" x14ac:dyDescent="0.25">
      <c r="A10" s="399">
        <v>1</v>
      </c>
      <c r="B10" s="423" t="s">
        <v>343</v>
      </c>
      <c r="C10" s="424"/>
      <c r="D10" s="424"/>
      <c r="E10" s="424"/>
      <c r="F10" s="424"/>
      <c r="G10" s="424"/>
      <c r="H10" s="402" t="s">
        <v>342</v>
      </c>
      <c r="I10" s="426" t="s">
        <v>341</v>
      </c>
    </row>
    <row r="11" spans="1:17" ht="46.5" customHeight="1" x14ac:dyDescent="0.25">
      <c r="A11" s="399"/>
      <c r="B11" s="424"/>
      <c r="C11" s="424"/>
      <c r="D11" s="424"/>
      <c r="E11" s="424"/>
      <c r="F11" s="424"/>
      <c r="G11" s="424"/>
      <c r="H11" s="402"/>
      <c r="I11" s="427"/>
    </row>
    <row r="12" spans="1:17" s="192" customFormat="1" ht="14.25" x14ac:dyDescent="0.2">
      <c r="A12" s="412">
        <v>2</v>
      </c>
      <c r="B12" s="413" t="s">
        <v>340</v>
      </c>
      <c r="C12" s="414"/>
      <c r="D12" s="414"/>
      <c r="E12" s="414"/>
      <c r="F12" s="414"/>
      <c r="G12" s="414"/>
      <c r="H12" s="425"/>
      <c r="I12" s="409">
        <v>0.79</v>
      </c>
    </row>
    <row r="13" spans="1:17" s="192" customFormat="1" ht="14.25" x14ac:dyDescent="0.2">
      <c r="A13" s="412"/>
      <c r="B13" s="414"/>
      <c r="C13" s="414"/>
      <c r="D13" s="414"/>
      <c r="E13" s="414"/>
      <c r="F13" s="414"/>
      <c r="G13" s="414"/>
      <c r="H13" s="425"/>
      <c r="I13" s="409"/>
    </row>
    <row r="14" spans="1:17" s="194" customFormat="1" x14ac:dyDescent="0.25">
      <c r="A14" s="405">
        <v>3</v>
      </c>
      <c r="B14" s="406" t="s">
        <v>339</v>
      </c>
      <c r="C14" s="407"/>
      <c r="D14" s="407"/>
      <c r="E14" s="407"/>
      <c r="F14" s="407"/>
      <c r="G14" s="407"/>
      <c r="H14" s="408"/>
      <c r="I14" s="403">
        <v>0.48699999999999999</v>
      </c>
    </row>
    <row r="15" spans="1:17" s="194" customFormat="1" ht="35.450000000000003" customHeight="1" x14ac:dyDescent="0.25">
      <c r="A15" s="405"/>
      <c r="B15" s="407"/>
      <c r="C15" s="407"/>
      <c r="D15" s="407"/>
      <c r="E15" s="407"/>
      <c r="F15" s="407"/>
      <c r="G15" s="407"/>
      <c r="H15" s="408"/>
      <c r="I15" s="403"/>
    </row>
    <row r="16" spans="1:17" s="194" customFormat="1" x14ac:dyDescent="0.25">
      <c r="A16" s="405">
        <v>4</v>
      </c>
      <c r="B16" s="406" t="s">
        <v>338</v>
      </c>
      <c r="C16" s="407"/>
      <c r="D16" s="407"/>
      <c r="E16" s="407"/>
      <c r="F16" s="407"/>
      <c r="G16" s="407"/>
      <c r="H16" s="408"/>
      <c r="I16" s="403">
        <v>0.36199999999999999</v>
      </c>
    </row>
    <row r="17" spans="1:11" s="194" customFormat="1" ht="30" customHeight="1" x14ac:dyDescent="0.25">
      <c r="A17" s="405"/>
      <c r="B17" s="407"/>
      <c r="C17" s="407"/>
      <c r="D17" s="407"/>
      <c r="E17" s="407"/>
      <c r="F17" s="407"/>
      <c r="G17" s="407"/>
      <c r="H17" s="408"/>
      <c r="I17" s="403"/>
    </row>
    <row r="18" spans="1:11" s="194" customFormat="1" x14ac:dyDescent="0.25">
      <c r="A18" s="405">
        <v>5</v>
      </c>
      <c r="B18" s="406" t="s">
        <v>337</v>
      </c>
      <c r="C18" s="407"/>
      <c r="D18" s="407"/>
      <c r="E18" s="407"/>
      <c r="F18" s="407"/>
      <c r="G18" s="407"/>
      <c r="H18" s="408"/>
      <c r="I18" s="403">
        <v>0.125</v>
      </c>
    </row>
    <row r="19" spans="1:11" s="194" customFormat="1" ht="30.6" customHeight="1" x14ac:dyDescent="0.25">
      <c r="A19" s="405"/>
      <c r="B19" s="407"/>
      <c r="C19" s="407"/>
      <c r="D19" s="407"/>
      <c r="E19" s="407"/>
      <c r="F19" s="407"/>
      <c r="G19" s="407"/>
      <c r="H19" s="408"/>
      <c r="I19" s="403"/>
    </row>
    <row r="20" spans="1:11" s="194" customFormat="1" x14ac:dyDescent="0.25">
      <c r="A20" s="405">
        <v>6</v>
      </c>
      <c r="B20" s="406" t="s">
        <v>336</v>
      </c>
      <c r="C20" s="407"/>
      <c r="D20" s="407"/>
      <c r="E20" s="407"/>
      <c r="F20" s="407"/>
      <c r="G20" s="407"/>
      <c r="H20" s="408"/>
      <c r="I20" s="403">
        <v>2.5000000000000001E-2</v>
      </c>
    </row>
    <row r="21" spans="1:11" s="194" customFormat="1" x14ac:dyDescent="0.25">
      <c r="A21" s="405"/>
      <c r="B21" s="407"/>
      <c r="C21" s="407"/>
      <c r="D21" s="407"/>
      <c r="E21" s="407"/>
      <c r="F21" s="407"/>
      <c r="G21" s="407"/>
      <c r="H21" s="408"/>
      <c r="I21" s="403"/>
    </row>
    <row r="22" spans="1:11" s="194" customFormat="1" x14ac:dyDescent="0.25">
      <c r="A22" s="405">
        <v>7</v>
      </c>
      <c r="B22" s="406" t="s">
        <v>335</v>
      </c>
      <c r="C22" s="407"/>
      <c r="D22" s="407"/>
      <c r="E22" s="407"/>
      <c r="F22" s="407"/>
      <c r="G22" s="407"/>
      <c r="H22" s="408"/>
      <c r="I22" s="403">
        <v>0.215</v>
      </c>
    </row>
    <row r="23" spans="1:11" s="194" customFormat="1" x14ac:dyDescent="0.25">
      <c r="A23" s="405"/>
      <c r="B23" s="407"/>
      <c r="C23" s="407"/>
      <c r="D23" s="407"/>
      <c r="E23" s="407"/>
      <c r="F23" s="407"/>
      <c r="G23" s="407"/>
      <c r="H23" s="408"/>
      <c r="I23" s="403"/>
    </row>
    <row r="24" spans="1:11" s="194" customFormat="1" x14ac:dyDescent="0.25">
      <c r="A24" s="405">
        <v>8</v>
      </c>
      <c r="B24" s="410" t="s">
        <v>334</v>
      </c>
      <c r="C24" s="411"/>
      <c r="D24" s="411"/>
      <c r="E24" s="411"/>
      <c r="F24" s="411"/>
      <c r="G24" s="411"/>
      <c r="H24" s="408"/>
      <c r="I24" s="403">
        <v>6.3E-2</v>
      </c>
    </row>
    <row r="25" spans="1:11" s="194" customFormat="1" x14ac:dyDescent="0.25">
      <c r="A25" s="405"/>
      <c r="B25" s="411"/>
      <c r="C25" s="411"/>
      <c r="D25" s="411"/>
      <c r="E25" s="411"/>
      <c r="F25" s="411"/>
      <c r="G25" s="411"/>
      <c r="H25" s="408"/>
      <c r="I25" s="403"/>
    </row>
    <row r="26" spans="1:11" s="192" customFormat="1" ht="14.25" x14ac:dyDescent="0.2">
      <c r="A26" s="412">
        <v>9</v>
      </c>
      <c r="B26" s="413" t="s">
        <v>333</v>
      </c>
      <c r="C26" s="414"/>
      <c r="D26" s="414"/>
      <c r="E26" s="414"/>
      <c r="F26" s="414"/>
      <c r="G26" s="414"/>
      <c r="H26" s="415"/>
      <c r="I26" s="409">
        <v>2.09</v>
      </c>
    </row>
    <row r="27" spans="1:11" s="192" customFormat="1" ht="14.25" x14ac:dyDescent="0.2">
      <c r="A27" s="412"/>
      <c r="B27" s="414"/>
      <c r="C27" s="414"/>
      <c r="D27" s="414"/>
      <c r="E27" s="414"/>
      <c r="F27" s="414"/>
      <c r="G27" s="414"/>
      <c r="H27" s="415"/>
      <c r="I27" s="409"/>
      <c r="K27" s="193"/>
    </row>
    <row r="28" spans="1:11" x14ac:dyDescent="0.25">
      <c r="A28" s="399">
        <v>10</v>
      </c>
      <c r="B28" s="400" t="s">
        <v>332</v>
      </c>
      <c r="C28" s="401"/>
      <c r="D28" s="401"/>
      <c r="E28" s="401"/>
      <c r="F28" s="401"/>
      <c r="G28" s="401"/>
      <c r="H28" s="402"/>
      <c r="I28" s="404">
        <v>0.66100000000000003</v>
      </c>
    </row>
    <row r="29" spans="1:11" x14ac:dyDescent="0.25">
      <c r="A29" s="399"/>
      <c r="B29" s="401"/>
      <c r="C29" s="401"/>
      <c r="D29" s="401"/>
      <c r="E29" s="401"/>
      <c r="F29" s="401"/>
      <c r="G29" s="401"/>
      <c r="H29" s="402"/>
      <c r="I29" s="404"/>
    </row>
    <row r="30" spans="1:11" x14ac:dyDescent="0.25">
      <c r="A30" s="399">
        <v>11</v>
      </c>
      <c r="B30" s="400" t="s">
        <v>331</v>
      </c>
      <c r="C30" s="401"/>
      <c r="D30" s="401"/>
      <c r="E30" s="401"/>
      <c r="F30" s="401"/>
      <c r="G30" s="401"/>
      <c r="H30" s="402"/>
      <c r="I30" s="404">
        <v>4.0000000000000001E-3</v>
      </c>
    </row>
    <row r="31" spans="1:11" x14ac:dyDescent="0.25">
      <c r="A31" s="399"/>
      <c r="B31" s="401"/>
      <c r="C31" s="401"/>
      <c r="D31" s="401"/>
      <c r="E31" s="401"/>
      <c r="F31" s="401"/>
      <c r="G31" s="401"/>
      <c r="H31" s="402"/>
      <c r="I31" s="404"/>
    </row>
    <row r="32" spans="1:11" x14ac:dyDescent="0.25">
      <c r="A32" s="399">
        <v>12</v>
      </c>
      <c r="B32" s="400" t="s">
        <v>330</v>
      </c>
      <c r="C32" s="401"/>
      <c r="D32" s="401"/>
      <c r="E32" s="401"/>
      <c r="F32" s="401"/>
      <c r="G32" s="401"/>
      <c r="H32" s="402"/>
      <c r="I32" s="404">
        <v>0</v>
      </c>
    </row>
    <row r="33" spans="1:9" x14ac:dyDescent="0.25">
      <c r="A33" s="399"/>
      <c r="B33" s="401"/>
      <c r="C33" s="401"/>
      <c r="D33" s="401"/>
      <c r="E33" s="401"/>
      <c r="F33" s="401"/>
      <c r="G33" s="401"/>
      <c r="H33" s="402"/>
      <c r="I33" s="404"/>
    </row>
    <row r="34" spans="1:9" x14ac:dyDescent="0.25">
      <c r="A34" s="399">
        <v>13</v>
      </c>
      <c r="B34" s="400" t="s">
        <v>329</v>
      </c>
      <c r="C34" s="401"/>
      <c r="D34" s="401"/>
      <c r="E34" s="401"/>
      <c r="F34" s="401"/>
      <c r="G34" s="401"/>
      <c r="H34" s="402"/>
      <c r="I34" s="404">
        <v>0.15</v>
      </c>
    </row>
    <row r="35" spans="1:9" x14ac:dyDescent="0.25">
      <c r="A35" s="399"/>
      <c r="B35" s="401"/>
      <c r="C35" s="401"/>
      <c r="D35" s="401"/>
      <c r="E35" s="401"/>
      <c r="F35" s="401"/>
      <c r="G35" s="401"/>
      <c r="H35" s="402"/>
      <c r="I35" s="404"/>
    </row>
    <row r="36" spans="1:9" x14ac:dyDescent="0.25">
      <c r="A36" s="399">
        <v>14</v>
      </c>
      <c r="B36" s="400" t="s">
        <v>328</v>
      </c>
      <c r="C36" s="401"/>
      <c r="D36" s="401"/>
      <c r="E36" s="401"/>
      <c r="F36" s="401"/>
      <c r="G36" s="401"/>
      <c r="H36" s="402"/>
      <c r="I36" s="404">
        <v>1.2749999999999999</v>
      </c>
    </row>
    <row r="37" spans="1:9" x14ac:dyDescent="0.25">
      <c r="A37" s="399"/>
      <c r="B37" s="401"/>
      <c r="C37" s="401"/>
      <c r="D37" s="401"/>
      <c r="E37" s="401"/>
      <c r="F37" s="401"/>
      <c r="G37" s="401"/>
      <c r="H37" s="402"/>
      <c r="I37" s="404"/>
    </row>
    <row r="40" spans="1:9" ht="13.9" x14ac:dyDescent="0.25">
      <c r="A40" s="422" t="s">
        <v>348</v>
      </c>
      <c r="B40" s="422"/>
      <c r="C40" s="422"/>
      <c r="D40" s="422"/>
      <c r="E40" s="422"/>
      <c r="F40" s="422"/>
      <c r="G40" s="422"/>
      <c r="H40" s="422"/>
      <c r="I40" s="422"/>
    </row>
  </sheetData>
  <mergeCells count="62">
    <mergeCell ref="A40:I40"/>
    <mergeCell ref="B10:G11"/>
    <mergeCell ref="H12:H13"/>
    <mergeCell ref="H10:H11"/>
    <mergeCell ref="I10:I11"/>
    <mergeCell ref="H22:H23"/>
    <mergeCell ref="A16:A17"/>
    <mergeCell ref="B16:G17"/>
    <mergeCell ref="H16:H17"/>
    <mergeCell ref="A18:A19"/>
    <mergeCell ref="B18:G19"/>
    <mergeCell ref="H18:H19"/>
    <mergeCell ref="A34:A35"/>
    <mergeCell ref="B34:G35"/>
    <mergeCell ref="H34:H35"/>
    <mergeCell ref="I32:I33"/>
    <mergeCell ref="B9:G9"/>
    <mergeCell ref="A4:I7"/>
    <mergeCell ref="H9:I9"/>
    <mergeCell ref="I12:I13"/>
    <mergeCell ref="A14:A15"/>
    <mergeCell ref="B14:G15"/>
    <mergeCell ref="H14:H15"/>
    <mergeCell ref="A10:A11"/>
    <mergeCell ref="A12:A13"/>
    <mergeCell ref="B12:G13"/>
    <mergeCell ref="A24:A25"/>
    <mergeCell ref="I24:I25"/>
    <mergeCell ref="I26:I27"/>
    <mergeCell ref="B24:G25"/>
    <mergeCell ref="H24:H25"/>
    <mergeCell ref="A26:A27"/>
    <mergeCell ref="B26:G27"/>
    <mergeCell ref="H26:H27"/>
    <mergeCell ref="A20:A21"/>
    <mergeCell ref="B20:G21"/>
    <mergeCell ref="H20:H21"/>
    <mergeCell ref="A22:A23"/>
    <mergeCell ref="B22:G23"/>
    <mergeCell ref="H28:H29"/>
    <mergeCell ref="A30:A31"/>
    <mergeCell ref="B30:G31"/>
    <mergeCell ref="H30:H31"/>
    <mergeCell ref="I34:I35"/>
    <mergeCell ref="I28:I29"/>
    <mergeCell ref="I30:I31"/>
    <mergeCell ref="M9:Q9"/>
    <mergeCell ref="E1:I1"/>
    <mergeCell ref="A36:A37"/>
    <mergeCell ref="B36:G37"/>
    <mergeCell ref="H36:H37"/>
    <mergeCell ref="I14:I15"/>
    <mergeCell ref="I16:I17"/>
    <mergeCell ref="I18:I19"/>
    <mergeCell ref="I20:I21"/>
    <mergeCell ref="I36:I37"/>
    <mergeCell ref="I22:I23"/>
    <mergeCell ref="A32:A33"/>
    <mergeCell ref="B32:G33"/>
    <mergeCell ref="H32:H33"/>
    <mergeCell ref="A28:A29"/>
    <mergeCell ref="B28:G29"/>
  </mergeCells>
  <printOptions horizontalCentered="1"/>
  <pageMargins left="0.9055118110236221" right="0.51181102362204722" top="0.74803149606299213" bottom="0.74803149606299213" header="0.31496062992125984" footer="0.31496062992125984"/>
  <pageSetup paperSize="9" scale="86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67"/>
  <sheetViews>
    <sheetView topLeftCell="A9" workbookViewId="0">
      <selection activeCell="D21" sqref="D21"/>
    </sheetView>
  </sheetViews>
  <sheetFormatPr defaultRowHeight="15" x14ac:dyDescent="0.25"/>
  <cols>
    <col min="1" max="1" width="9.140625" style="3" customWidth="1"/>
    <col min="2" max="2" width="9.140625" style="3"/>
    <col min="3" max="3" width="36.7109375" style="3" customWidth="1"/>
    <col min="4" max="4" width="17.7109375" style="3" customWidth="1"/>
    <col min="5" max="5" width="18.7109375" style="13" customWidth="1"/>
    <col min="6" max="6" width="15.140625" style="13" customWidth="1"/>
    <col min="7" max="7" width="16.7109375" style="13" customWidth="1"/>
    <col min="8" max="8" width="18.42578125" style="13" customWidth="1"/>
    <col min="9" max="9" width="18" style="13" customWidth="1"/>
    <col min="10" max="10" width="17.140625" style="3" customWidth="1"/>
    <col min="11" max="11" width="15.5703125" style="3" customWidth="1"/>
    <col min="12" max="15" width="12.140625" style="3" customWidth="1"/>
    <col min="16" max="256" width="9.140625" style="3"/>
    <col min="257" max="257" width="9.140625" style="3" customWidth="1"/>
    <col min="258" max="258" width="9.140625" style="3"/>
    <col min="259" max="259" width="36.7109375" style="3" customWidth="1"/>
    <col min="260" max="260" width="17.7109375" style="3" customWidth="1"/>
    <col min="261" max="261" width="18.7109375" style="3" customWidth="1"/>
    <col min="262" max="262" width="15.140625" style="3" customWidth="1"/>
    <col min="263" max="263" width="16.7109375" style="3" customWidth="1"/>
    <col min="264" max="264" width="18.42578125" style="3" customWidth="1"/>
    <col min="265" max="265" width="18" style="3" customWidth="1"/>
    <col min="266" max="266" width="17.140625" style="3" customWidth="1"/>
    <col min="267" max="267" width="15.5703125" style="3" customWidth="1"/>
    <col min="268" max="512" width="9.140625" style="3"/>
    <col min="513" max="513" width="9.140625" style="3" customWidth="1"/>
    <col min="514" max="514" width="9.140625" style="3"/>
    <col min="515" max="515" width="36.7109375" style="3" customWidth="1"/>
    <col min="516" max="516" width="17.7109375" style="3" customWidth="1"/>
    <col min="517" max="517" width="18.7109375" style="3" customWidth="1"/>
    <col min="518" max="518" width="15.140625" style="3" customWidth="1"/>
    <col min="519" max="519" width="16.7109375" style="3" customWidth="1"/>
    <col min="520" max="520" width="18.42578125" style="3" customWidth="1"/>
    <col min="521" max="521" width="18" style="3" customWidth="1"/>
    <col min="522" max="522" width="17.140625" style="3" customWidth="1"/>
    <col min="523" max="523" width="15.5703125" style="3" customWidth="1"/>
    <col min="524" max="768" width="9.140625" style="3"/>
    <col min="769" max="769" width="9.140625" style="3" customWidth="1"/>
    <col min="770" max="770" width="9.140625" style="3"/>
    <col min="771" max="771" width="36.7109375" style="3" customWidth="1"/>
    <col min="772" max="772" width="17.7109375" style="3" customWidth="1"/>
    <col min="773" max="773" width="18.7109375" style="3" customWidth="1"/>
    <col min="774" max="774" width="15.140625" style="3" customWidth="1"/>
    <col min="775" max="775" width="16.7109375" style="3" customWidth="1"/>
    <col min="776" max="776" width="18.42578125" style="3" customWidth="1"/>
    <col min="777" max="777" width="18" style="3" customWidth="1"/>
    <col min="778" max="778" width="17.140625" style="3" customWidth="1"/>
    <col min="779" max="779" width="15.5703125" style="3" customWidth="1"/>
    <col min="780" max="1024" width="9.140625" style="3"/>
    <col min="1025" max="1025" width="9.140625" style="3" customWidth="1"/>
    <col min="1026" max="1026" width="9.140625" style="3"/>
    <col min="1027" max="1027" width="36.7109375" style="3" customWidth="1"/>
    <col min="1028" max="1028" width="17.7109375" style="3" customWidth="1"/>
    <col min="1029" max="1029" width="18.7109375" style="3" customWidth="1"/>
    <col min="1030" max="1030" width="15.140625" style="3" customWidth="1"/>
    <col min="1031" max="1031" width="16.7109375" style="3" customWidth="1"/>
    <col min="1032" max="1032" width="18.42578125" style="3" customWidth="1"/>
    <col min="1033" max="1033" width="18" style="3" customWidth="1"/>
    <col min="1034" max="1034" width="17.140625" style="3" customWidth="1"/>
    <col min="1035" max="1035" width="15.5703125" style="3" customWidth="1"/>
    <col min="1036" max="1280" width="9.140625" style="3"/>
    <col min="1281" max="1281" width="9.140625" style="3" customWidth="1"/>
    <col min="1282" max="1282" width="9.140625" style="3"/>
    <col min="1283" max="1283" width="36.7109375" style="3" customWidth="1"/>
    <col min="1284" max="1284" width="17.7109375" style="3" customWidth="1"/>
    <col min="1285" max="1285" width="18.7109375" style="3" customWidth="1"/>
    <col min="1286" max="1286" width="15.140625" style="3" customWidth="1"/>
    <col min="1287" max="1287" width="16.7109375" style="3" customWidth="1"/>
    <col min="1288" max="1288" width="18.42578125" style="3" customWidth="1"/>
    <col min="1289" max="1289" width="18" style="3" customWidth="1"/>
    <col min="1290" max="1290" width="17.140625" style="3" customWidth="1"/>
    <col min="1291" max="1291" width="15.5703125" style="3" customWidth="1"/>
    <col min="1292" max="1536" width="9.140625" style="3"/>
    <col min="1537" max="1537" width="9.140625" style="3" customWidth="1"/>
    <col min="1538" max="1538" width="9.140625" style="3"/>
    <col min="1539" max="1539" width="36.7109375" style="3" customWidth="1"/>
    <col min="1540" max="1540" width="17.7109375" style="3" customWidth="1"/>
    <col min="1541" max="1541" width="18.7109375" style="3" customWidth="1"/>
    <col min="1542" max="1542" width="15.140625" style="3" customWidth="1"/>
    <col min="1543" max="1543" width="16.7109375" style="3" customWidth="1"/>
    <col min="1544" max="1544" width="18.42578125" style="3" customWidth="1"/>
    <col min="1545" max="1545" width="18" style="3" customWidth="1"/>
    <col min="1546" max="1546" width="17.140625" style="3" customWidth="1"/>
    <col min="1547" max="1547" width="15.5703125" style="3" customWidth="1"/>
    <col min="1548" max="1792" width="9.140625" style="3"/>
    <col min="1793" max="1793" width="9.140625" style="3" customWidth="1"/>
    <col min="1794" max="1794" width="9.140625" style="3"/>
    <col min="1795" max="1795" width="36.7109375" style="3" customWidth="1"/>
    <col min="1796" max="1796" width="17.7109375" style="3" customWidth="1"/>
    <col min="1797" max="1797" width="18.7109375" style="3" customWidth="1"/>
    <col min="1798" max="1798" width="15.140625" style="3" customWidth="1"/>
    <col min="1799" max="1799" width="16.7109375" style="3" customWidth="1"/>
    <col min="1800" max="1800" width="18.42578125" style="3" customWidth="1"/>
    <col min="1801" max="1801" width="18" style="3" customWidth="1"/>
    <col min="1802" max="1802" width="17.140625" style="3" customWidth="1"/>
    <col min="1803" max="1803" width="15.5703125" style="3" customWidth="1"/>
    <col min="1804" max="2048" width="9.140625" style="3"/>
    <col min="2049" max="2049" width="9.140625" style="3" customWidth="1"/>
    <col min="2050" max="2050" width="9.140625" style="3"/>
    <col min="2051" max="2051" width="36.7109375" style="3" customWidth="1"/>
    <col min="2052" max="2052" width="17.7109375" style="3" customWidth="1"/>
    <col min="2053" max="2053" width="18.7109375" style="3" customWidth="1"/>
    <col min="2054" max="2054" width="15.140625" style="3" customWidth="1"/>
    <col min="2055" max="2055" width="16.7109375" style="3" customWidth="1"/>
    <col min="2056" max="2056" width="18.42578125" style="3" customWidth="1"/>
    <col min="2057" max="2057" width="18" style="3" customWidth="1"/>
    <col min="2058" max="2058" width="17.140625" style="3" customWidth="1"/>
    <col min="2059" max="2059" width="15.5703125" style="3" customWidth="1"/>
    <col min="2060" max="2304" width="9.140625" style="3"/>
    <col min="2305" max="2305" width="9.140625" style="3" customWidth="1"/>
    <col min="2306" max="2306" width="9.140625" style="3"/>
    <col min="2307" max="2307" width="36.7109375" style="3" customWidth="1"/>
    <col min="2308" max="2308" width="17.7109375" style="3" customWidth="1"/>
    <col min="2309" max="2309" width="18.7109375" style="3" customWidth="1"/>
    <col min="2310" max="2310" width="15.140625" style="3" customWidth="1"/>
    <col min="2311" max="2311" width="16.7109375" style="3" customWidth="1"/>
    <col min="2312" max="2312" width="18.42578125" style="3" customWidth="1"/>
    <col min="2313" max="2313" width="18" style="3" customWidth="1"/>
    <col min="2314" max="2314" width="17.140625" style="3" customWidth="1"/>
    <col min="2315" max="2315" width="15.5703125" style="3" customWidth="1"/>
    <col min="2316" max="2560" width="9.140625" style="3"/>
    <col min="2561" max="2561" width="9.140625" style="3" customWidth="1"/>
    <col min="2562" max="2562" width="9.140625" style="3"/>
    <col min="2563" max="2563" width="36.7109375" style="3" customWidth="1"/>
    <col min="2564" max="2564" width="17.7109375" style="3" customWidth="1"/>
    <col min="2565" max="2565" width="18.7109375" style="3" customWidth="1"/>
    <col min="2566" max="2566" width="15.140625" style="3" customWidth="1"/>
    <col min="2567" max="2567" width="16.7109375" style="3" customWidth="1"/>
    <col min="2568" max="2568" width="18.42578125" style="3" customWidth="1"/>
    <col min="2569" max="2569" width="18" style="3" customWidth="1"/>
    <col min="2570" max="2570" width="17.140625" style="3" customWidth="1"/>
    <col min="2571" max="2571" width="15.5703125" style="3" customWidth="1"/>
    <col min="2572" max="2816" width="9.140625" style="3"/>
    <col min="2817" max="2817" width="9.140625" style="3" customWidth="1"/>
    <col min="2818" max="2818" width="9.140625" style="3"/>
    <col min="2819" max="2819" width="36.7109375" style="3" customWidth="1"/>
    <col min="2820" max="2820" width="17.7109375" style="3" customWidth="1"/>
    <col min="2821" max="2821" width="18.7109375" style="3" customWidth="1"/>
    <col min="2822" max="2822" width="15.140625" style="3" customWidth="1"/>
    <col min="2823" max="2823" width="16.7109375" style="3" customWidth="1"/>
    <col min="2824" max="2824" width="18.42578125" style="3" customWidth="1"/>
    <col min="2825" max="2825" width="18" style="3" customWidth="1"/>
    <col min="2826" max="2826" width="17.140625" style="3" customWidth="1"/>
    <col min="2827" max="2827" width="15.5703125" style="3" customWidth="1"/>
    <col min="2828" max="3072" width="9.140625" style="3"/>
    <col min="3073" max="3073" width="9.140625" style="3" customWidth="1"/>
    <col min="3074" max="3074" width="9.140625" style="3"/>
    <col min="3075" max="3075" width="36.7109375" style="3" customWidth="1"/>
    <col min="3076" max="3076" width="17.7109375" style="3" customWidth="1"/>
    <col min="3077" max="3077" width="18.7109375" style="3" customWidth="1"/>
    <col min="3078" max="3078" width="15.140625" style="3" customWidth="1"/>
    <col min="3079" max="3079" width="16.7109375" style="3" customWidth="1"/>
    <col min="3080" max="3080" width="18.42578125" style="3" customWidth="1"/>
    <col min="3081" max="3081" width="18" style="3" customWidth="1"/>
    <col min="3082" max="3082" width="17.140625" style="3" customWidth="1"/>
    <col min="3083" max="3083" width="15.5703125" style="3" customWidth="1"/>
    <col min="3084" max="3328" width="9.140625" style="3"/>
    <col min="3329" max="3329" width="9.140625" style="3" customWidth="1"/>
    <col min="3330" max="3330" width="9.140625" style="3"/>
    <col min="3331" max="3331" width="36.7109375" style="3" customWidth="1"/>
    <col min="3332" max="3332" width="17.7109375" style="3" customWidth="1"/>
    <col min="3333" max="3333" width="18.7109375" style="3" customWidth="1"/>
    <col min="3334" max="3334" width="15.140625" style="3" customWidth="1"/>
    <col min="3335" max="3335" width="16.7109375" style="3" customWidth="1"/>
    <col min="3336" max="3336" width="18.42578125" style="3" customWidth="1"/>
    <col min="3337" max="3337" width="18" style="3" customWidth="1"/>
    <col min="3338" max="3338" width="17.140625" style="3" customWidth="1"/>
    <col min="3339" max="3339" width="15.5703125" style="3" customWidth="1"/>
    <col min="3340" max="3584" width="9.140625" style="3"/>
    <col min="3585" max="3585" width="9.140625" style="3" customWidth="1"/>
    <col min="3586" max="3586" width="9.140625" style="3"/>
    <col min="3587" max="3587" width="36.7109375" style="3" customWidth="1"/>
    <col min="3588" max="3588" width="17.7109375" style="3" customWidth="1"/>
    <col min="3589" max="3589" width="18.7109375" style="3" customWidth="1"/>
    <col min="3590" max="3590" width="15.140625" style="3" customWidth="1"/>
    <col min="3591" max="3591" width="16.7109375" style="3" customWidth="1"/>
    <col min="3592" max="3592" width="18.42578125" style="3" customWidth="1"/>
    <col min="3593" max="3593" width="18" style="3" customWidth="1"/>
    <col min="3594" max="3594" width="17.140625" style="3" customWidth="1"/>
    <col min="3595" max="3595" width="15.5703125" style="3" customWidth="1"/>
    <col min="3596" max="3840" width="9.140625" style="3"/>
    <col min="3841" max="3841" width="9.140625" style="3" customWidth="1"/>
    <col min="3842" max="3842" width="9.140625" style="3"/>
    <col min="3843" max="3843" width="36.7109375" style="3" customWidth="1"/>
    <col min="3844" max="3844" width="17.7109375" style="3" customWidth="1"/>
    <col min="3845" max="3845" width="18.7109375" style="3" customWidth="1"/>
    <col min="3846" max="3846" width="15.140625" style="3" customWidth="1"/>
    <col min="3847" max="3847" width="16.7109375" style="3" customWidth="1"/>
    <col min="3848" max="3848" width="18.42578125" style="3" customWidth="1"/>
    <col min="3849" max="3849" width="18" style="3" customWidth="1"/>
    <col min="3850" max="3850" width="17.140625" style="3" customWidth="1"/>
    <col min="3851" max="3851" width="15.5703125" style="3" customWidth="1"/>
    <col min="3852" max="4096" width="9.140625" style="3"/>
    <col min="4097" max="4097" width="9.140625" style="3" customWidth="1"/>
    <col min="4098" max="4098" width="9.140625" style="3"/>
    <col min="4099" max="4099" width="36.7109375" style="3" customWidth="1"/>
    <col min="4100" max="4100" width="17.7109375" style="3" customWidth="1"/>
    <col min="4101" max="4101" width="18.7109375" style="3" customWidth="1"/>
    <col min="4102" max="4102" width="15.140625" style="3" customWidth="1"/>
    <col min="4103" max="4103" width="16.7109375" style="3" customWidth="1"/>
    <col min="4104" max="4104" width="18.42578125" style="3" customWidth="1"/>
    <col min="4105" max="4105" width="18" style="3" customWidth="1"/>
    <col min="4106" max="4106" width="17.140625" style="3" customWidth="1"/>
    <col min="4107" max="4107" width="15.5703125" style="3" customWidth="1"/>
    <col min="4108" max="4352" width="9.140625" style="3"/>
    <col min="4353" max="4353" width="9.140625" style="3" customWidth="1"/>
    <col min="4354" max="4354" width="9.140625" style="3"/>
    <col min="4355" max="4355" width="36.7109375" style="3" customWidth="1"/>
    <col min="4356" max="4356" width="17.7109375" style="3" customWidth="1"/>
    <col min="4357" max="4357" width="18.7109375" style="3" customWidth="1"/>
    <col min="4358" max="4358" width="15.140625" style="3" customWidth="1"/>
    <col min="4359" max="4359" width="16.7109375" style="3" customWidth="1"/>
    <col min="4360" max="4360" width="18.42578125" style="3" customWidth="1"/>
    <col min="4361" max="4361" width="18" style="3" customWidth="1"/>
    <col min="4362" max="4362" width="17.140625" style="3" customWidth="1"/>
    <col min="4363" max="4363" width="15.5703125" style="3" customWidth="1"/>
    <col min="4364" max="4608" width="9.140625" style="3"/>
    <col min="4609" max="4609" width="9.140625" style="3" customWidth="1"/>
    <col min="4610" max="4610" width="9.140625" style="3"/>
    <col min="4611" max="4611" width="36.7109375" style="3" customWidth="1"/>
    <col min="4612" max="4612" width="17.7109375" style="3" customWidth="1"/>
    <col min="4613" max="4613" width="18.7109375" style="3" customWidth="1"/>
    <col min="4614" max="4614" width="15.140625" style="3" customWidth="1"/>
    <col min="4615" max="4615" width="16.7109375" style="3" customWidth="1"/>
    <col min="4616" max="4616" width="18.42578125" style="3" customWidth="1"/>
    <col min="4617" max="4617" width="18" style="3" customWidth="1"/>
    <col min="4618" max="4618" width="17.140625" style="3" customWidth="1"/>
    <col min="4619" max="4619" width="15.5703125" style="3" customWidth="1"/>
    <col min="4620" max="4864" width="9.140625" style="3"/>
    <col min="4865" max="4865" width="9.140625" style="3" customWidth="1"/>
    <col min="4866" max="4866" width="9.140625" style="3"/>
    <col min="4867" max="4867" width="36.7109375" style="3" customWidth="1"/>
    <col min="4868" max="4868" width="17.7109375" style="3" customWidth="1"/>
    <col min="4869" max="4869" width="18.7109375" style="3" customWidth="1"/>
    <col min="4870" max="4870" width="15.140625" style="3" customWidth="1"/>
    <col min="4871" max="4871" width="16.7109375" style="3" customWidth="1"/>
    <col min="4872" max="4872" width="18.42578125" style="3" customWidth="1"/>
    <col min="4873" max="4873" width="18" style="3" customWidth="1"/>
    <col min="4874" max="4874" width="17.140625" style="3" customWidth="1"/>
    <col min="4875" max="4875" width="15.5703125" style="3" customWidth="1"/>
    <col min="4876" max="5120" width="9.140625" style="3"/>
    <col min="5121" max="5121" width="9.140625" style="3" customWidth="1"/>
    <col min="5122" max="5122" width="9.140625" style="3"/>
    <col min="5123" max="5123" width="36.7109375" style="3" customWidth="1"/>
    <col min="5124" max="5124" width="17.7109375" style="3" customWidth="1"/>
    <col min="5125" max="5125" width="18.7109375" style="3" customWidth="1"/>
    <col min="5126" max="5126" width="15.140625" style="3" customWidth="1"/>
    <col min="5127" max="5127" width="16.7109375" style="3" customWidth="1"/>
    <col min="5128" max="5128" width="18.42578125" style="3" customWidth="1"/>
    <col min="5129" max="5129" width="18" style="3" customWidth="1"/>
    <col min="5130" max="5130" width="17.140625" style="3" customWidth="1"/>
    <col min="5131" max="5131" width="15.5703125" style="3" customWidth="1"/>
    <col min="5132" max="5376" width="9.140625" style="3"/>
    <col min="5377" max="5377" width="9.140625" style="3" customWidth="1"/>
    <col min="5378" max="5378" width="9.140625" style="3"/>
    <col min="5379" max="5379" width="36.7109375" style="3" customWidth="1"/>
    <col min="5380" max="5380" width="17.7109375" style="3" customWidth="1"/>
    <col min="5381" max="5381" width="18.7109375" style="3" customWidth="1"/>
    <col min="5382" max="5382" width="15.140625" style="3" customWidth="1"/>
    <col min="5383" max="5383" width="16.7109375" style="3" customWidth="1"/>
    <col min="5384" max="5384" width="18.42578125" style="3" customWidth="1"/>
    <col min="5385" max="5385" width="18" style="3" customWidth="1"/>
    <col min="5386" max="5386" width="17.140625" style="3" customWidth="1"/>
    <col min="5387" max="5387" width="15.5703125" style="3" customWidth="1"/>
    <col min="5388" max="5632" width="9.140625" style="3"/>
    <col min="5633" max="5633" width="9.140625" style="3" customWidth="1"/>
    <col min="5634" max="5634" width="9.140625" style="3"/>
    <col min="5635" max="5635" width="36.7109375" style="3" customWidth="1"/>
    <col min="5636" max="5636" width="17.7109375" style="3" customWidth="1"/>
    <col min="5637" max="5637" width="18.7109375" style="3" customWidth="1"/>
    <col min="5638" max="5638" width="15.140625" style="3" customWidth="1"/>
    <col min="5639" max="5639" width="16.7109375" style="3" customWidth="1"/>
    <col min="5640" max="5640" width="18.42578125" style="3" customWidth="1"/>
    <col min="5641" max="5641" width="18" style="3" customWidth="1"/>
    <col min="5642" max="5642" width="17.140625" style="3" customWidth="1"/>
    <col min="5643" max="5643" width="15.5703125" style="3" customWidth="1"/>
    <col min="5644" max="5888" width="9.140625" style="3"/>
    <col min="5889" max="5889" width="9.140625" style="3" customWidth="1"/>
    <col min="5890" max="5890" width="9.140625" style="3"/>
    <col min="5891" max="5891" width="36.7109375" style="3" customWidth="1"/>
    <col min="5892" max="5892" width="17.7109375" style="3" customWidth="1"/>
    <col min="5893" max="5893" width="18.7109375" style="3" customWidth="1"/>
    <col min="5894" max="5894" width="15.140625" style="3" customWidth="1"/>
    <col min="5895" max="5895" width="16.7109375" style="3" customWidth="1"/>
    <col min="5896" max="5896" width="18.42578125" style="3" customWidth="1"/>
    <col min="5897" max="5897" width="18" style="3" customWidth="1"/>
    <col min="5898" max="5898" width="17.140625" style="3" customWidth="1"/>
    <col min="5899" max="5899" width="15.5703125" style="3" customWidth="1"/>
    <col min="5900" max="6144" width="9.140625" style="3"/>
    <col min="6145" max="6145" width="9.140625" style="3" customWidth="1"/>
    <col min="6146" max="6146" width="9.140625" style="3"/>
    <col min="6147" max="6147" width="36.7109375" style="3" customWidth="1"/>
    <col min="6148" max="6148" width="17.7109375" style="3" customWidth="1"/>
    <col min="6149" max="6149" width="18.7109375" style="3" customWidth="1"/>
    <col min="6150" max="6150" width="15.140625" style="3" customWidth="1"/>
    <col min="6151" max="6151" width="16.7109375" style="3" customWidth="1"/>
    <col min="6152" max="6152" width="18.42578125" style="3" customWidth="1"/>
    <col min="6153" max="6153" width="18" style="3" customWidth="1"/>
    <col min="6154" max="6154" width="17.140625" style="3" customWidth="1"/>
    <col min="6155" max="6155" width="15.5703125" style="3" customWidth="1"/>
    <col min="6156" max="6400" width="9.140625" style="3"/>
    <col min="6401" max="6401" width="9.140625" style="3" customWidth="1"/>
    <col min="6402" max="6402" width="9.140625" style="3"/>
    <col min="6403" max="6403" width="36.7109375" style="3" customWidth="1"/>
    <col min="6404" max="6404" width="17.7109375" style="3" customWidth="1"/>
    <col min="6405" max="6405" width="18.7109375" style="3" customWidth="1"/>
    <col min="6406" max="6406" width="15.140625" style="3" customWidth="1"/>
    <col min="6407" max="6407" width="16.7109375" style="3" customWidth="1"/>
    <col min="6408" max="6408" width="18.42578125" style="3" customWidth="1"/>
    <col min="6409" max="6409" width="18" style="3" customWidth="1"/>
    <col min="6410" max="6410" width="17.140625" style="3" customWidth="1"/>
    <col min="6411" max="6411" width="15.5703125" style="3" customWidth="1"/>
    <col min="6412" max="6656" width="9.140625" style="3"/>
    <col min="6657" max="6657" width="9.140625" style="3" customWidth="1"/>
    <col min="6658" max="6658" width="9.140625" style="3"/>
    <col min="6659" max="6659" width="36.7109375" style="3" customWidth="1"/>
    <col min="6660" max="6660" width="17.7109375" style="3" customWidth="1"/>
    <col min="6661" max="6661" width="18.7109375" style="3" customWidth="1"/>
    <col min="6662" max="6662" width="15.140625" style="3" customWidth="1"/>
    <col min="6663" max="6663" width="16.7109375" style="3" customWidth="1"/>
    <col min="6664" max="6664" width="18.42578125" style="3" customWidth="1"/>
    <col min="6665" max="6665" width="18" style="3" customWidth="1"/>
    <col min="6666" max="6666" width="17.140625" style="3" customWidth="1"/>
    <col min="6667" max="6667" width="15.5703125" style="3" customWidth="1"/>
    <col min="6668" max="6912" width="9.140625" style="3"/>
    <col min="6913" max="6913" width="9.140625" style="3" customWidth="1"/>
    <col min="6914" max="6914" width="9.140625" style="3"/>
    <col min="6915" max="6915" width="36.7109375" style="3" customWidth="1"/>
    <col min="6916" max="6916" width="17.7109375" style="3" customWidth="1"/>
    <col min="6917" max="6917" width="18.7109375" style="3" customWidth="1"/>
    <col min="6918" max="6918" width="15.140625" style="3" customWidth="1"/>
    <col min="6919" max="6919" width="16.7109375" style="3" customWidth="1"/>
    <col min="6920" max="6920" width="18.42578125" style="3" customWidth="1"/>
    <col min="6921" max="6921" width="18" style="3" customWidth="1"/>
    <col min="6922" max="6922" width="17.140625" style="3" customWidth="1"/>
    <col min="6923" max="6923" width="15.5703125" style="3" customWidth="1"/>
    <col min="6924" max="7168" width="9.140625" style="3"/>
    <col min="7169" max="7169" width="9.140625" style="3" customWidth="1"/>
    <col min="7170" max="7170" width="9.140625" style="3"/>
    <col min="7171" max="7171" width="36.7109375" style="3" customWidth="1"/>
    <col min="7172" max="7172" width="17.7109375" style="3" customWidth="1"/>
    <col min="7173" max="7173" width="18.7109375" style="3" customWidth="1"/>
    <col min="7174" max="7174" width="15.140625" style="3" customWidth="1"/>
    <col min="7175" max="7175" width="16.7109375" style="3" customWidth="1"/>
    <col min="7176" max="7176" width="18.42578125" style="3" customWidth="1"/>
    <col min="7177" max="7177" width="18" style="3" customWidth="1"/>
    <col min="7178" max="7178" width="17.140625" style="3" customWidth="1"/>
    <col min="7179" max="7179" width="15.5703125" style="3" customWidth="1"/>
    <col min="7180" max="7424" width="9.140625" style="3"/>
    <col min="7425" max="7425" width="9.140625" style="3" customWidth="1"/>
    <col min="7426" max="7426" width="9.140625" style="3"/>
    <col min="7427" max="7427" width="36.7109375" style="3" customWidth="1"/>
    <col min="7428" max="7428" width="17.7109375" style="3" customWidth="1"/>
    <col min="7429" max="7429" width="18.7109375" style="3" customWidth="1"/>
    <col min="7430" max="7430" width="15.140625" style="3" customWidth="1"/>
    <col min="7431" max="7431" width="16.7109375" style="3" customWidth="1"/>
    <col min="7432" max="7432" width="18.42578125" style="3" customWidth="1"/>
    <col min="7433" max="7433" width="18" style="3" customWidth="1"/>
    <col min="7434" max="7434" width="17.140625" style="3" customWidth="1"/>
    <col min="7435" max="7435" width="15.5703125" style="3" customWidth="1"/>
    <col min="7436" max="7680" width="9.140625" style="3"/>
    <col min="7681" max="7681" width="9.140625" style="3" customWidth="1"/>
    <col min="7682" max="7682" width="9.140625" style="3"/>
    <col min="7683" max="7683" width="36.7109375" style="3" customWidth="1"/>
    <col min="7684" max="7684" width="17.7109375" style="3" customWidth="1"/>
    <col min="7685" max="7685" width="18.7109375" style="3" customWidth="1"/>
    <col min="7686" max="7686" width="15.140625" style="3" customWidth="1"/>
    <col min="7687" max="7687" width="16.7109375" style="3" customWidth="1"/>
    <col min="7688" max="7688" width="18.42578125" style="3" customWidth="1"/>
    <col min="7689" max="7689" width="18" style="3" customWidth="1"/>
    <col min="7690" max="7690" width="17.140625" style="3" customWidth="1"/>
    <col min="7691" max="7691" width="15.5703125" style="3" customWidth="1"/>
    <col min="7692" max="7936" width="9.140625" style="3"/>
    <col min="7937" max="7937" width="9.140625" style="3" customWidth="1"/>
    <col min="7938" max="7938" width="9.140625" style="3"/>
    <col min="7939" max="7939" width="36.7109375" style="3" customWidth="1"/>
    <col min="7940" max="7940" width="17.7109375" style="3" customWidth="1"/>
    <col min="7941" max="7941" width="18.7109375" style="3" customWidth="1"/>
    <col min="7942" max="7942" width="15.140625" style="3" customWidth="1"/>
    <col min="7943" max="7943" width="16.7109375" style="3" customWidth="1"/>
    <col min="7944" max="7944" width="18.42578125" style="3" customWidth="1"/>
    <col min="7945" max="7945" width="18" style="3" customWidth="1"/>
    <col min="7946" max="7946" width="17.140625" style="3" customWidth="1"/>
    <col min="7947" max="7947" width="15.5703125" style="3" customWidth="1"/>
    <col min="7948" max="8192" width="9.140625" style="3"/>
    <col min="8193" max="8193" width="9.140625" style="3" customWidth="1"/>
    <col min="8194" max="8194" width="9.140625" style="3"/>
    <col min="8195" max="8195" width="36.7109375" style="3" customWidth="1"/>
    <col min="8196" max="8196" width="17.7109375" style="3" customWidth="1"/>
    <col min="8197" max="8197" width="18.7109375" style="3" customWidth="1"/>
    <col min="8198" max="8198" width="15.140625" style="3" customWidth="1"/>
    <col min="8199" max="8199" width="16.7109375" style="3" customWidth="1"/>
    <col min="8200" max="8200" width="18.42578125" style="3" customWidth="1"/>
    <col min="8201" max="8201" width="18" style="3" customWidth="1"/>
    <col min="8202" max="8202" width="17.140625" style="3" customWidth="1"/>
    <col min="8203" max="8203" width="15.5703125" style="3" customWidth="1"/>
    <col min="8204" max="8448" width="9.140625" style="3"/>
    <col min="8449" max="8449" width="9.140625" style="3" customWidth="1"/>
    <col min="8450" max="8450" width="9.140625" style="3"/>
    <col min="8451" max="8451" width="36.7109375" style="3" customWidth="1"/>
    <col min="8452" max="8452" width="17.7109375" style="3" customWidth="1"/>
    <col min="8453" max="8453" width="18.7109375" style="3" customWidth="1"/>
    <col min="8454" max="8454" width="15.140625" style="3" customWidth="1"/>
    <col min="8455" max="8455" width="16.7109375" style="3" customWidth="1"/>
    <col min="8456" max="8456" width="18.42578125" style="3" customWidth="1"/>
    <col min="8457" max="8457" width="18" style="3" customWidth="1"/>
    <col min="8458" max="8458" width="17.140625" style="3" customWidth="1"/>
    <col min="8459" max="8459" width="15.5703125" style="3" customWidth="1"/>
    <col min="8460" max="8704" width="9.140625" style="3"/>
    <col min="8705" max="8705" width="9.140625" style="3" customWidth="1"/>
    <col min="8706" max="8706" width="9.140625" style="3"/>
    <col min="8707" max="8707" width="36.7109375" style="3" customWidth="1"/>
    <col min="8708" max="8708" width="17.7109375" style="3" customWidth="1"/>
    <col min="8709" max="8709" width="18.7109375" style="3" customWidth="1"/>
    <col min="8710" max="8710" width="15.140625" style="3" customWidth="1"/>
    <col min="8711" max="8711" width="16.7109375" style="3" customWidth="1"/>
    <col min="8712" max="8712" width="18.42578125" style="3" customWidth="1"/>
    <col min="8713" max="8713" width="18" style="3" customWidth="1"/>
    <col min="8714" max="8714" width="17.140625" style="3" customWidth="1"/>
    <col min="8715" max="8715" width="15.5703125" style="3" customWidth="1"/>
    <col min="8716" max="8960" width="9.140625" style="3"/>
    <col min="8961" max="8961" width="9.140625" style="3" customWidth="1"/>
    <col min="8962" max="8962" width="9.140625" style="3"/>
    <col min="8963" max="8963" width="36.7109375" style="3" customWidth="1"/>
    <col min="8964" max="8964" width="17.7109375" style="3" customWidth="1"/>
    <col min="8965" max="8965" width="18.7109375" style="3" customWidth="1"/>
    <col min="8966" max="8966" width="15.140625" style="3" customWidth="1"/>
    <col min="8967" max="8967" width="16.7109375" style="3" customWidth="1"/>
    <col min="8968" max="8968" width="18.42578125" style="3" customWidth="1"/>
    <col min="8969" max="8969" width="18" style="3" customWidth="1"/>
    <col min="8970" max="8970" width="17.140625" style="3" customWidth="1"/>
    <col min="8971" max="8971" width="15.5703125" style="3" customWidth="1"/>
    <col min="8972" max="9216" width="9.140625" style="3"/>
    <col min="9217" max="9217" width="9.140625" style="3" customWidth="1"/>
    <col min="9218" max="9218" width="9.140625" style="3"/>
    <col min="9219" max="9219" width="36.7109375" style="3" customWidth="1"/>
    <col min="9220" max="9220" width="17.7109375" style="3" customWidth="1"/>
    <col min="9221" max="9221" width="18.7109375" style="3" customWidth="1"/>
    <col min="9222" max="9222" width="15.140625" style="3" customWidth="1"/>
    <col min="9223" max="9223" width="16.7109375" style="3" customWidth="1"/>
    <col min="9224" max="9224" width="18.42578125" style="3" customWidth="1"/>
    <col min="9225" max="9225" width="18" style="3" customWidth="1"/>
    <col min="9226" max="9226" width="17.140625" style="3" customWidth="1"/>
    <col min="9227" max="9227" width="15.5703125" style="3" customWidth="1"/>
    <col min="9228" max="9472" width="9.140625" style="3"/>
    <col min="9473" max="9473" width="9.140625" style="3" customWidth="1"/>
    <col min="9474" max="9474" width="9.140625" style="3"/>
    <col min="9475" max="9475" width="36.7109375" style="3" customWidth="1"/>
    <col min="9476" max="9476" width="17.7109375" style="3" customWidth="1"/>
    <col min="9477" max="9477" width="18.7109375" style="3" customWidth="1"/>
    <col min="9478" max="9478" width="15.140625" style="3" customWidth="1"/>
    <col min="9479" max="9479" width="16.7109375" style="3" customWidth="1"/>
    <col min="9480" max="9480" width="18.42578125" style="3" customWidth="1"/>
    <col min="9481" max="9481" width="18" style="3" customWidth="1"/>
    <col min="9482" max="9482" width="17.140625" style="3" customWidth="1"/>
    <col min="9483" max="9483" width="15.5703125" style="3" customWidth="1"/>
    <col min="9484" max="9728" width="9.140625" style="3"/>
    <col min="9729" max="9729" width="9.140625" style="3" customWidth="1"/>
    <col min="9730" max="9730" width="9.140625" style="3"/>
    <col min="9731" max="9731" width="36.7109375" style="3" customWidth="1"/>
    <col min="9732" max="9732" width="17.7109375" style="3" customWidth="1"/>
    <col min="9733" max="9733" width="18.7109375" style="3" customWidth="1"/>
    <col min="9734" max="9734" width="15.140625" style="3" customWidth="1"/>
    <col min="9735" max="9735" width="16.7109375" style="3" customWidth="1"/>
    <col min="9736" max="9736" width="18.42578125" style="3" customWidth="1"/>
    <col min="9737" max="9737" width="18" style="3" customWidth="1"/>
    <col min="9738" max="9738" width="17.140625" style="3" customWidth="1"/>
    <col min="9739" max="9739" width="15.5703125" style="3" customWidth="1"/>
    <col min="9740" max="9984" width="9.140625" style="3"/>
    <col min="9985" max="9985" width="9.140625" style="3" customWidth="1"/>
    <col min="9986" max="9986" width="9.140625" style="3"/>
    <col min="9987" max="9987" width="36.7109375" style="3" customWidth="1"/>
    <col min="9988" max="9988" width="17.7109375" style="3" customWidth="1"/>
    <col min="9989" max="9989" width="18.7109375" style="3" customWidth="1"/>
    <col min="9990" max="9990" width="15.140625" style="3" customWidth="1"/>
    <col min="9991" max="9991" width="16.7109375" style="3" customWidth="1"/>
    <col min="9992" max="9992" width="18.42578125" style="3" customWidth="1"/>
    <col min="9993" max="9993" width="18" style="3" customWidth="1"/>
    <col min="9994" max="9994" width="17.140625" style="3" customWidth="1"/>
    <col min="9995" max="9995" width="15.5703125" style="3" customWidth="1"/>
    <col min="9996" max="10240" width="9.140625" style="3"/>
    <col min="10241" max="10241" width="9.140625" style="3" customWidth="1"/>
    <col min="10242" max="10242" width="9.140625" style="3"/>
    <col min="10243" max="10243" width="36.7109375" style="3" customWidth="1"/>
    <col min="10244" max="10244" width="17.7109375" style="3" customWidth="1"/>
    <col min="10245" max="10245" width="18.7109375" style="3" customWidth="1"/>
    <col min="10246" max="10246" width="15.140625" style="3" customWidth="1"/>
    <col min="10247" max="10247" width="16.7109375" style="3" customWidth="1"/>
    <col min="10248" max="10248" width="18.42578125" style="3" customWidth="1"/>
    <col min="10249" max="10249" width="18" style="3" customWidth="1"/>
    <col min="10250" max="10250" width="17.140625" style="3" customWidth="1"/>
    <col min="10251" max="10251" width="15.5703125" style="3" customWidth="1"/>
    <col min="10252" max="10496" width="9.140625" style="3"/>
    <col min="10497" max="10497" width="9.140625" style="3" customWidth="1"/>
    <col min="10498" max="10498" width="9.140625" style="3"/>
    <col min="10499" max="10499" width="36.7109375" style="3" customWidth="1"/>
    <col min="10500" max="10500" width="17.7109375" style="3" customWidth="1"/>
    <col min="10501" max="10501" width="18.7109375" style="3" customWidth="1"/>
    <col min="10502" max="10502" width="15.140625" style="3" customWidth="1"/>
    <col min="10503" max="10503" width="16.7109375" style="3" customWidth="1"/>
    <col min="10504" max="10504" width="18.42578125" style="3" customWidth="1"/>
    <col min="10505" max="10505" width="18" style="3" customWidth="1"/>
    <col min="10506" max="10506" width="17.140625" style="3" customWidth="1"/>
    <col min="10507" max="10507" width="15.5703125" style="3" customWidth="1"/>
    <col min="10508" max="10752" width="9.140625" style="3"/>
    <col min="10753" max="10753" width="9.140625" style="3" customWidth="1"/>
    <col min="10754" max="10754" width="9.140625" style="3"/>
    <col min="10755" max="10755" width="36.7109375" style="3" customWidth="1"/>
    <col min="10756" max="10756" width="17.7109375" style="3" customWidth="1"/>
    <col min="10757" max="10757" width="18.7109375" style="3" customWidth="1"/>
    <col min="10758" max="10758" width="15.140625" style="3" customWidth="1"/>
    <col min="10759" max="10759" width="16.7109375" style="3" customWidth="1"/>
    <col min="10760" max="10760" width="18.42578125" style="3" customWidth="1"/>
    <col min="10761" max="10761" width="18" style="3" customWidth="1"/>
    <col min="10762" max="10762" width="17.140625" style="3" customWidth="1"/>
    <col min="10763" max="10763" width="15.5703125" style="3" customWidth="1"/>
    <col min="10764" max="11008" width="9.140625" style="3"/>
    <col min="11009" max="11009" width="9.140625" style="3" customWidth="1"/>
    <col min="11010" max="11010" width="9.140625" style="3"/>
    <col min="11011" max="11011" width="36.7109375" style="3" customWidth="1"/>
    <col min="11012" max="11012" width="17.7109375" style="3" customWidth="1"/>
    <col min="11013" max="11013" width="18.7109375" style="3" customWidth="1"/>
    <col min="11014" max="11014" width="15.140625" style="3" customWidth="1"/>
    <col min="11015" max="11015" width="16.7109375" style="3" customWidth="1"/>
    <col min="11016" max="11016" width="18.42578125" style="3" customWidth="1"/>
    <col min="11017" max="11017" width="18" style="3" customWidth="1"/>
    <col min="11018" max="11018" width="17.140625" style="3" customWidth="1"/>
    <col min="11019" max="11019" width="15.5703125" style="3" customWidth="1"/>
    <col min="11020" max="11264" width="9.140625" style="3"/>
    <col min="11265" max="11265" width="9.140625" style="3" customWidth="1"/>
    <col min="11266" max="11266" width="9.140625" style="3"/>
    <col min="11267" max="11267" width="36.7109375" style="3" customWidth="1"/>
    <col min="11268" max="11268" width="17.7109375" style="3" customWidth="1"/>
    <col min="11269" max="11269" width="18.7109375" style="3" customWidth="1"/>
    <col min="11270" max="11270" width="15.140625" style="3" customWidth="1"/>
    <col min="11271" max="11271" width="16.7109375" style="3" customWidth="1"/>
    <col min="11272" max="11272" width="18.42578125" style="3" customWidth="1"/>
    <col min="11273" max="11273" width="18" style="3" customWidth="1"/>
    <col min="11274" max="11274" width="17.140625" style="3" customWidth="1"/>
    <col min="11275" max="11275" width="15.5703125" style="3" customWidth="1"/>
    <col min="11276" max="11520" width="9.140625" style="3"/>
    <col min="11521" max="11521" width="9.140625" style="3" customWidth="1"/>
    <col min="11522" max="11522" width="9.140625" style="3"/>
    <col min="11523" max="11523" width="36.7109375" style="3" customWidth="1"/>
    <col min="11524" max="11524" width="17.7109375" style="3" customWidth="1"/>
    <col min="11525" max="11525" width="18.7109375" style="3" customWidth="1"/>
    <col min="11526" max="11526" width="15.140625" style="3" customWidth="1"/>
    <col min="11527" max="11527" width="16.7109375" style="3" customWidth="1"/>
    <col min="11528" max="11528" width="18.42578125" style="3" customWidth="1"/>
    <col min="11529" max="11529" width="18" style="3" customWidth="1"/>
    <col min="11530" max="11530" width="17.140625" style="3" customWidth="1"/>
    <col min="11531" max="11531" width="15.5703125" style="3" customWidth="1"/>
    <col min="11532" max="11776" width="9.140625" style="3"/>
    <col min="11777" max="11777" width="9.140625" style="3" customWidth="1"/>
    <col min="11778" max="11778" width="9.140625" style="3"/>
    <col min="11779" max="11779" width="36.7109375" style="3" customWidth="1"/>
    <col min="11780" max="11780" width="17.7109375" style="3" customWidth="1"/>
    <col min="11781" max="11781" width="18.7109375" style="3" customWidth="1"/>
    <col min="11782" max="11782" width="15.140625" style="3" customWidth="1"/>
    <col min="11783" max="11783" width="16.7109375" style="3" customWidth="1"/>
    <col min="11784" max="11784" width="18.42578125" style="3" customWidth="1"/>
    <col min="11785" max="11785" width="18" style="3" customWidth="1"/>
    <col min="11786" max="11786" width="17.140625" style="3" customWidth="1"/>
    <col min="11787" max="11787" width="15.5703125" style="3" customWidth="1"/>
    <col min="11788" max="12032" width="9.140625" style="3"/>
    <col min="12033" max="12033" width="9.140625" style="3" customWidth="1"/>
    <col min="12034" max="12034" width="9.140625" style="3"/>
    <col min="12035" max="12035" width="36.7109375" style="3" customWidth="1"/>
    <col min="12036" max="12036" width="17.7109375" style="3" customWidth="1"/>
    <col min="12037" max="12037" width="18.7109375" style="3" customWidth="1"/>
    <col min="12038" max="12038" width="15.140625" style="3" customWidth="1"/>
    <col min="12039" max="12039" width="16.7109375" style="3" customWidth="1"/>
    <col min="12040" max="12040" width="18.42578125" style="3" customWidth="1"/>
    <col min="12041" max="12041" width="18" style="3" customWidth="1"/>
    <col min="12042" max="12042" width="17.140625" style="3" customWidth="1"/>
    <col min="12043" max="12043" width="15.5703125" style="3" customWidth="1"/>
    <col min="12044" max="12288" width="9.140625" style="3"/>
    <col min="12289" max="12289" width="9.140625" style="3" customWidth="1"/>
    <col min="12290" max="12290" width="9.140625" style="3"/>
    <col min="12291" max="12291" width="36.7109375" style="3" customWidth="1"/>
    <col min="12292" max="12292" width="17.7109375" style="3" customWidth="1"/>
    <col min="12293" max="12293" width="18.7109375" style="3" customWidth="1"/>
    <col min="12294" max="12294" width="15.140625" style="3" customWidth="1"/>
    <col min="12295" max="12295" width="16.7109375" style="3" customWidth="1"/>
    <col min="12296" max="12296" width="18.42578125" style="3" customWidth="1"/>
    <col min="12297" max="12297" width="18" style="3" customWidth="1"/>
    <col min="12298" max="12298" width="17.140625" style="3" customWidth="1"/>
    <col min="12299" max="12299" width="15.5703125" style="3" customWidth="1"/>
    <col min="12300" max="12544" width="9.140625" style="3"/>
    <col min="12545" max="12545" width="9.140625" style="3" customWidth="1"/>
    <col min="12546" max="12546" width="9.140625" style="3"/>
    <col min="12547" max="12547" width="36.7109375" style="3" customWidth="1"/>
    <col min="12548" max="12548" width="17.7109375" style="3" customWidth="1"/>
    <col min="12549" max="12549" width="18.7109375" style="3" customWidth="1"/>
    <col min="12550" max="12550" width="15.140625" style="3" customWidth="1"/>
    <col min="12551" max="12551" width="16.7109375" style="3" customWidth="1"/>
    <col min="12552" max="12552" width="18.42578125" style="3" customWidth="1"/>
    <col min="12553" max="12553" width="18" style="3" customWidth="1"/>
    <col min="12554" max="12554" width="17.140625" style="3" customWidth="1"/>
    <col min="12555" max="12555" width="15.5703125" style="3" customWidth="1"/>
    <col min="12556" max="12800" width="9.140625" style="3"/>
    <col min="12801" max="12801" width="9.140625" style="3" customWidth="1"/>
    <col min="12802" max="12802" width="9.140625" style="3"/>
    <col min="12803" max="12803" width="36.7109375" style="3" customWidth="1"/>
    <col min="12804" max="12804" width="17.7109375" style="3" customWidth="1"/>
    <col min="12805" max="12805" width="18.7109375" style="3" customWidth="1"/>
    <col min="12806" max="12806" width="15.140625" style="3" customWidth="1"/>
    <col min="12807" max="12807" width="16.7109375" style="3" customWidth="1"/>
    <col min="12808" max="12808" width="18.42578125" style="3" customWidth="1"/>
    <col min="12809" max="12809" width="18" style="3" customWidth="1"/>
    <col min="12810" max="12810" width="17.140625" style="3" customWidth="1"/>
    <col min="12811" max="12811" width="15.5703125" style="3" customWidth="1"/>
    <col min="12812" max="13056" width="9.140625" style="3"/>
    <col min="13057" max="13057" width="9.140625" style="3" customWidth="1"/>
    <col min="13058" max="13058" width="9.140625" style="3"/>
    <col min="13059" max="13059" width="36.7109375" style="3" customWidth="1"/>
    <col min="13060" max="13060" width="17.7109375" style="3" customWidth="1"/>
    <col min="13061" max="13061" width="18.7109375" style="3" customWidth="1"/>
    <col min="13062" max="13062" width="15.140625" style="3" customWidth="1"/>
    <col min="13063" max="13063" width="16.7109375" style="3" customWidth="1"/>
    <col min="13064" max="13064" width="18.42578125" style="3" customWidth="1"/>
    <col min="13065" max="13065" width="18" style="3" customWidth="1"/>
    <col min="13066" max="13066" width="17.140625" style="3" customWidth="1"/>
    <col min="13067" max="13067" width="15.5703125" style="3" customWidth="1"/>
    <col min="13068" max="13312" width="9.140625" style="3"/>
    <col min="13313" max="13313" width="9.140625" style="3" customWidth="1"/>
    <col min="13314" max="13314" width="9.140625" style="3"/>
    <col min="13315" max="13315" width="36.7109375" style="3" customWidth="1"/>
    <col min="13316" max="13316" width="17.7109375" style="3" customWidth="1"/>
    <col min="13317" max="13317" width="18.7109375" style="3" customWidth="1"/>
    <col min="13318" max="13318" width="15.140625" style="3" customWidth="1"/>
    <col min="13319" max="13319" width="16.7109375" style="3" customWidth="1"/>
    <col min="13320" max="13320" width="18.42578125" style="3" customWidth="1"/>
    <col min="13321" max="13321" width="18" style="3" customWidth="1"/>
    <col min="13322" max="13322" width="17.140625" style="3" customWidth="1"/>
    <col min="13323" max="13323" width="15.5703125" style="3" customWidth="1"/>
    <col min="13324" max="13568" width="9.140625" style="3"/>
    <col min="13569" max="13569" width="9.140625" style="3" customWidth="1"/>
    <col min="13570" max="13570" width="9.140625" style="3"/>
    <col min="13571" max="13571" width="36.7109375" style="3" customWidth="1"/>
    <col min="13572" max="13572" width="17.7109375" style="3" customWidth="1"/>
    <col min="13573" max="13573" width="18.7109375" style="3" customWidth="1"/>
    <col min="13574" max="13574" width="15.140625" style="3" customWidth="1"/>
    <col min="13575" max="13575" width="16.7109375" style="3" customWidth="1"/>
    <col min="13576" max="13576" width="18.42578125" style="3" customWidth="1"/>
    <col min="13577" max="13577" width="18" style="3" customWidth="1"/>
    <col min="13578" max="13578" width="17.140625" style="3" customWidth="1"/>
    <col min="13579" max="13579" width="15.5703125" style="3" customWidth="1"/>
    <col min="13580" max="13824" width="9.140625" style="3"/>
    <col min="13825" max="13825" width="9.140625" style="3" customWidth="1"/>
    <col min="13826" max="13826" width="9.140625" style="3"/>
    <col min="13827" max="13827" width="36.7109375" style="3" customWidth="1"/>
    <col min="13828" max="13828" width="17.7109375" style="3" customWidth="1"/>
    <col min="13829" max="13829" width="18.7109375" style="3" customWidth="1"/>
    <col min="13830" max="13830" width="15.140625" style="3" customWidth="1"/>
    <col min="13831" max="13831" width="16.7109375" style="3" customWidth="1"/>
    <col min="13832" max="13832" width="18.42578125" style="3" customWidth="1"/>
    <col min="13833" max="13833" width="18" style="3" customWidth="1"/>
    <col min="13834" max="13834" width="17.140625" style="3" customWidth="1"/>
    <col min="13835" max="13835" width="15.5703125" style="3" customWidth="1"/>
    <col min="13836" max="14080" width="9.140625" style="3"/>
    <col min="14081" max="14081" width="9.140625" style="3" customWidth="1"/>
    <col min="14082" max="14082" width="9.140625" style="3"/>
    <col min="14083" max="14083" width="36.7109375" style="3" customWidth="1"/>
    <col min="14084" max="14084" width="17.7109375" style="3" customWidth="1"/>
    <col min="14085" max="14085" width="18.7109375" style="3" customWidth="1"/>
    <col min="14086" max="14086" width="15.140625" style="3" customWidth="1"/>
    <col min="14087" max="14087" width="16.7109375" style="3" customWidth="1"/>
    <col min="14088" max="14088" width="18.42578125" style="3" customWidth="1"/>
    <col min="14089" max="14089" width="18" style="3" customWidth="1"/>
    <col min="14090" max="14090" width="17.140625" style="3" customWidth="1"/>
    <col min="14091" max="14091" width="15.5703125" style="3" customWidth="1"/>
    <col min="14092" max="14336" width="9.140625" style="3"/>
    <col min="14337" max="14337" width="9.140625" style="3" customWidth="1"/>
    <col min="14338" max="14338" width="9.140625" style="3"/>
    <col min="14339" max="14339" width="36.7109375" style="3" customWidth="1"/>
    <col min="14340" max="14340" width="17.7109375" style="3" customWidth="1"/>
    <col min="14341" max="14341" width="18.7109375" style="3" customWidth="1"/>
    <col min="14342" max="14342" width="15.140625" style="3" customWidth="1"/>
    <col min="14343" max="14343" width="16.7109375" style="3" customWidth="1"/>
    <col min="14344" max="14344" width="18.42578125" style="3" customWidth="1"/>
    <col min="14345" max="14345" width="18" style="3" customWidth="1"/>
    <col min="14346" max="14346" width="17.140625" style="3" customWidth="1"/>
    <col min="14347" max="14347" width="15.5703125" style="3" customWidth="1"/>
    <col min="14348" max="14592" width="9.140625" style="3"/>
    <col min="14593" max="14593" width="9.140625" style="3" customWidth="1"/>
    <col min="14594" max="14594" width="9.140625" style="3"/>
    <col min="14595" max="14595" width="36.7109375" style="3" customWidth="1"/>
    <col min="14596" max="14596" width="17.7109375" style="3" customWidth="1"/>
    <col min="14597" max="14597" width="18.7109375" style="3" customWidth="1"/>
    <col min="14598" max="14598" width="15.140625" style="3" customWidth="1"/>
    <col min="14599" max="14599" width="16.7109375" style="3" customWidth="1"/>
    <col min="14600" max="14600" width="18.42578125" style="3" customWidth="1"/>
    <col min="14601" max="14601" width="18" style="3" customWidth="1"/>
    <col min="14602" max="14602" width="17.140625" style="3" customWidth="1"/>
    <col min="14603" max="14603" width="15.5703125" style="3" customWidth="1"/>
    <col min="14604" max="14848" width="9.140625" style="3"/>
    <col min="14849" max="14849" width="9.140625" style="3" customWidth="1"/>
    <col min="14850" max="14850" width="9.140625" style="3"/>
    <col min="14851" max="14851" width="36.7109375" style="3" customWidth="1"/>
    <col min="14852" max="14852" width="17.7109375" style="3" customWidth="1"/>
    <col min="14853" max="14853" width="18.7109375" style="3" customWidth="1"/>
    <col min="14854" max="14854" width="15.140625" style="3" customWidth="1"/>
    <col min="14855" max="14855" width="16.7109375" style="3" customWidth="1"/>
    <col min="14856" max="14856" width="18.42578125" style="3" customWidth="1"/>
    <col min="14857" max="14857" width="18" style="3" customWidth="1"/>
    <col min="14858" max="14858" width="17.140625" style="3" customWidth="1"/>
    <col min="14859" max="14859" width="15.5703125" style="3" customWidth="1"/>
    <col min="14860" max="15104" width="9.140625" style="3"/>
    <col min="15105" max="15105" width="9.140625" style="3" customWidth="1"/>
    <col min="15106" max="15106" width="9.140625" style="3"/>
    <col min="15107" max="15107" width="36.7109375" style="3" customWidth="1"/>
    <col min="15108" max="15108" width="17.7109375" style="3" customWidth="1"/>
    <col min="15109" max="15109" width="18.7109375" style="3" customWidth="1"/>
    <col min="15110" max="15110" width="15.140625" style="3" customWidth="1"/>
    <col min="15111" max="15111" width="16.7109375" style="3" customWidth="1"/>
    <col min="15112" max="15112" width="18.42578125" style="3" customWidth="1"/>
    <col min="15113" max="15113" width="18" style="3" customWidth="1"/>
    <col min="15114" max="15114" width="17.140625" style="3" customWidth="1"/>
    <col min="15115" max="15115" width="15.5703125" style="3" customWidth="1"/>
    <col min="15116" max="15360" width="9.140625" style="3"/>
    <col min="15361" max="15361" width="9.140625" style="3" customWidth="1"/>
    <col min="15362" max="15362" width="9.140625" style="3"/>
    <col min="15363" max="15363" width="36.7109375" style="3" customWidth="1"/>
    <col min="15364" max="15364" width="17.7109375" style="3" customWidth="1"/>
    <col min="15365" max="15365" width="18.7109375" style="3" customWidth="1"/>
    <col min="15366" max="15366" width="15.140625" style="3" customWidth="1"/>
    <col min="15367" max="15367" width="16.7109375" style="3" customWidth="1"/>
    <col min="15368" max="15368" width="18.42578125" style="3" customWidth="1"/>
    <col min="15369" max="15369" width="18" style="3" customWidth="1"/>
    <col min="15370" max="15370" width="17.140625" style="3" customWidth="1"/>
    <col min="15371" max="15371" width="15.5703125" style="3" customWidth="1"/>
    <col min="15372" max="15616" width="9.140625" style="3"/>
    <col min="15617" max="15617" width="9.140625" style="3" customWidth="1"/>
    <col min="15618" max="15618" width="9.140625" style="3"/>
    <col min="15619" max="15619" width="36.7109375" style="3" customWidth="1"/>
    <col min="15620" max="15620" width="17.7109375" style="3" customWidth="1"/>
    <col min="15621" max="15621" width="18.7109375" style="3" customWidth="1"/>
    <col min="15622" max="15622" width="15.140625" style="3" customWidth="1"/>
    <col min="15623" max="15623" width="16.7109375" style="3" customWidth="1"/>
    <col min="15624" max="15624" width="18.42578125" style="3" customWidth="1"/>
    <col min="15625" max="15625" width="18" style="3" customWidth="1"/>
    <col min="15626" max="15626" width="17.140625" style="3" customWidth="1"/>
    <col min="15627" max="15627" width="15.5703125" style="3" customWidth="1"/>
    <col min="15628" max="15872" width="9.140625" style="3"/>
    <col min="15873" max="15873" width="9.140625" style="3" customWidth="1"/>
    <col min="15874" max="15874" width="9.140625" style="3"/>
    <col min="15875" max="15875" width="36.7109375" style="3" customWidth="1"/>
    <col min="15876" max="15876" width="17.7109375" style="3" customWidth="1"/>
    <col min="15877" max="15877" width="18.7109375" style="3" customWidth="1"/>
    <col min="15878" max="15878" width="15.140625" style="3" customWidth="1"/>
    <col min="15879" max="15879" width="16.7109375" style="3" customWidth="1"/>
    <col min="15880" max="15880" width="18.42578125" style="3" customWidth="1"/>
    <col min="15881" max="15881" width="18" style="3" customWidth="1"/>
    <col min="15882" max="15882" width="17.140625" style="3" customWidth="1"/>
    <col min="15883" max="15883" width="15.5703125" style="3" customWidth="1"/>
    <col min="15884" max="16128" width="9.140625" style="3"/>
    <col min="16129" max="16129" width="9.140625" style="3" customWidth="1"/>
    <col min="16130" max="16130" width="9.140625" style="3"/>
    <col min="16131" max="16131" width="36.7109375" style="3" customWidth="1"/>
    <col min="16132" max="16132" width="17.7109375" style="3" customWidth="1"/>
    <col min="16133" max="16133" width="18.7109375" style="3" customWidth="1"/>
    <col min="16134" max="16134" width="15.140625" style="3" customWidth="1"/>
    <col min="16135" max="16135" width="16.7109375" style="3" customWidth="1"/>
    <col min="16136" max="16136" width="18.42578125" style="3" customWidth="1"/>
    <col min="16137" max="16137" width="18" style="3" customWidth="1"/>
    <col min="16138" max="16138" width="17.140625" style="3" customWidth="1"/>
    <col min="16139" max="16139" width="15.5703125" style="3" customWidth="1"/>
    <col min="16140" max="16384" width="9.140625" style="3"/>
  </cols>
  <sheetData>
    <row r="1" spans="1:15" ht="24" hidden="1" customHeight="1" x14ac:dyDescent="0.3"/>
    <row r="2" spans="1:15" s="1" customFormat="1" ht="88.15" hidden="1" customHeight="1" x14ac:dyDescent="0.3">
      <c r="E2" s="14"/>
      <c r="F2" s="14"/>
      <c r="G2" s="14"/>
      <c r="H2" s="398" t="s">
        <v>2</v>
      </c>
      <c r="I2" s="398"/>
      <c r="J2" s="2"/>
    </row>
    <row r="4" spans="1:15" ht="14.25" customHeight="1" x14ac:dyDescent="0.3"/>
    <row r="5" spans="1:15" ht="15.75" x14ac:dyDescent="0.25">
      <c r="A5" s="431" t="s">
        <v>29</v>
      </c>
      <c r="B5" s="431"/>
      <c r="C5" s="431"/>
      <c r="D5" s="431"/>
      <c r="E5" s="431"/>
      <c r="F5" s="431"/>
      <c r="G5" s="431"/>
      <c r="H5" s="431"/>
      <c r="I5" s="431"/>
    </row>
    <row r="6" spans="1:15" ht="15.75" x14ac:dyDescent="0.25">
      <c r="A6" s="431" t="s">
        <v>30</v>
      </c>
      <c r="B6" s="431"/>
      <c r="C6" s="431"/>
      <c r="D6" s="431"/>
      <c r="E6" s="431"/>
      <c r="F6" s="431"/>
      <c r="G6" s="431"/>
      <c r="H6" s="431"/>
      <c r="I6" s="431"/>
    </row>
    <row r="7" spans="1:15" ht="15.75" x14ac:dyDescent="0.25">
      <c r="A7" s="431" t="s">
        <v>131</v>
      </c>
      <c r="B7" s="431"/>
      <c r="C7" s="431"/>
      <c r="D7" s="431"/>
      <c r="E7" s="431"/>
      <c r="F7" s="431"/>
      <c r="G7" s="431"/>
      <c r="H7" s="431"/>
      <c r="I7" s="431"/>
    </row>
    <row r="8" spans="1:15" ht="15.6" x14ac:dyDescent="0.3">
      <c r="A8" s="12"/>
      <c r="B8" s="12"/>
      <c r="C8" s="12"/>
      <c r="D8" s="12"/>
      <c r="E8" s="16"/>
      <c r="F8" s="16"/>
      <c r="G8" s="16"/>
      <c r="H8" s="16"/>
      <c r="I8" s="16"/>
    </row>
    <row r="9" spans="1:15" ht="15.6" x14ac:dyDescent="0.3">
      <c r="A9" s="5"/>
      <c r="B9" s="5"/>
      <c r="C9" s="5"/>
      <c r="D9" s="5"/>
      <c r="E9" s="17"/>
      <c r="F9" s="17"/>
      <c r="G9" s="17"/>
      <c r="H9" s="17"/>
      <c r="I9" s="80">
        <v>2684148.1245903019</v>
      </c>
    </row>
    <row r="10" spans="1:15" ht="66.599999999999994" customHeight="1" x14ac:dyDescent="0.25">
      <c r="A10" s="432"/>
      <c r="B10" s="433"/>
      <c r="C10" s="434"/>
      <c r="D10" s="441" t="s">
        <v>32</v>
      </c>
      <c r="E10" s="432" t="s">
        <v>33</v>
      </c>
      <c r="F10" s="432" t="s">
        <v>34</v>
      </c>
      <c r="G10" s="444" t="s">
        <v>35</v>
      </c>
      <c r="H10" s="18" t="s">
        <v>36</v>
      </c>
      <c r="I10" s="19" t="s">
        <v>37</v>
      </c>
    </row>
    <row r="11" spans="1:15" ht="14.45" customHeight="1" x14ac:dyDescent="0.25">
      <c r="A11" s="435"/>
      <c r="B11" s="436"/>
      <c r="C11" s="437"/>
      <c r="D11" s="442"/>
      <c r="E11" s="435"/>
      <c r="F11" s="435"/>
      <c r="G11" s="445"/>
      <c r="H11" s="18" t="s">
        <v>38</v>
      </c>
      <c r="I11" s="19" t="s">
        <v>39</v>
      </c>
    </row>
    <row r="12" spans="1:15" ht="71.25" customHeight="1" x14ac:dyDescent="0.25">
      <c r="A12" s="438"/>
      <c r="B12" s="439"/>
      <c r="C12" s="440"/>
      <c r="D12" s="443"/>
      <c r="E12" s="438"/>
      <c r="F12" s="438"/>
      <c r="G12" s="446"/>
      <c r="H12" s="18" t="s">
        <v>41</v>
      </c>
      <c r="I12" s="19" t="s">
        <v>41</v>
      </c>
      <c r="J12" s="3">
        <f>11421608.5853949-9428003.6</f>
        <v>1993604.9853949007</v>
      </c>
    </row>
    <row r="13" spans="1:15" ht="14.45" x14ac:dyDescent="0.3">
      <c r="A13" s="447">
        <v>1</v>
      </c>
      <c r="B13" s="447"/>
      <c r="C13" s="447"/>
      <c r="D13" s="6">
        <v>2</v>
      </c>
      <c r="E13" s="20">
        <v>3</v>
      </c>
      <c r="F13" s="20">
        <v>4</v>
      </c>
      <c r="G13" s="20"/>
      <c r="H13" s="21">
        <v>5</v>
      </c>
      <c r="I13" s="21">
        <v>6</v>
      </c>
    </row>
    <row r="14" spans="1:15" ht="45" customHeight="1" x14ac:dyDescent="0.25">
      <c r="A14" s="448" t="s">
        <v>44</v>
      </c>
      <c r="B14" s="449"/>
      <c r="C14" s="450"/>
      <c r="D14" s="7"/>
      <c r="E14" s="22" t="s">
        <v>45</v>
      </c>
      <c r="F14" s="22" t="s">
        <v>45</v>
      </c>
      <c r="G14" s="23">
        <v>3.3929999999999998</v>
      </c>
      <c r="H14" s="24"/>
      <c r="I14" s="25">
        <f>SUM(I15:I19)</f>
        <v>2684148.1243902273</v>
      </c>
      <c r="J14" s="3">
        <v>965919</v>
      </c>
      <c r="K14" s="3" t="s">
        <v>46</v>
      </c>
    </row>
    <row r="15" spans="1:15" ht="54.75" customHeight="1" x14ac:dyDescent="0.25">
      <c r="A15" s="451" t="s">
        <v>50</v>
      </c>
      <c r="B15" s="452"/>
      <c r="C15" s="453"/>
      <c r="D15" s="8" t="s">
        <v>51</v>
      </c>
      <c r="E15" s="23">
        <v>0.73</v>
      </c>
      <c r="F15" s="24">
        <f>195.3293*G15</f>
        <v>662.75231489999987</v>
      </c>
      <c r="G15" s="23">
        <v>3.3929999999999998</v>
      </c>
      <c r="H15" s="24">
        <f>F15*E15</f>
        <v>483.80918987699988</v>
      </c>
      <c r="I15" s="24">
        <f>H15*J14/1000</f>
        <v>467320.48887680186</v>
      </c>
      <c r="J15" s="3">
        <v>0.17410382052862847</v>
      </c>
      <c r="K15" s="81">
        <f>J15*2684148.12/965919*1000/E15/G15</f>
        <v>195.32928063926929</v>
      </c>
      <c r="L15" s="77">
        <f>K15/965919*1000</f>
        <v>0.20222118069866035</v>
      </c>
      <c r="M15" s="78">
        <f>L15/E15</f>
        <v>0.27701531602556212</v>
      </c>
      <c r="N15" s="79">
        <f>M15/G15</f>
        <v>8.1643181852508739E-2</v>
      </c>
      <c r="O15" s="79">
        <v>294.91463208974034</v>
      </c>
    </row>
    <row r="16" spans="1:15" x14ac:dyDescent="0.25">
      <c r="A16" s="454"/>
      <c r="B16" s="455"/>
      <c r="C16" s="456"/>
      <c r="D16" s="8" t="s">
        <v>52</v>
      </c>
      <c r="E16" s="23">
        <v>0.14399999999999999</v>
      </c>
      <c r="F16" s="24">
        <f>566.3884*G16</f>
        <v>1921.7558412000001</v>
      </c>
      <c r="G16" s="23">
        <v>3.3929999999999998</v>
      </c>
      <c r="H16" s="24">
        <f>F16*E16</f>
        <v>276.73284113279999</v>
      </c>
      <c r="I16" s="24">
        <f>H16*J14/1000</f>
        <v>267301.50917415303</v>
      </c>
      <c r="J16" s="3">
        <v>9.9585230464805774E-2</v>
      </c>
      <c r="K16" s="81">
        <f t="shared" ref="K16:K19" si="0">J16*2684148.12/965919*1000/E16/G16</f>
        <v>566.38839991041687</v>
      </c>
      <c r="L16" s="77">
        <f t="shared" ref="L16:L19" si="1">K16/965919*1000</f>
        <v>0.5863725632381358</v>
      </c>
      <c r="M16" s="78">
        <f>L16/E16</f>
        <v>4.0720316891537207</v>
      </c>
      <c r="N16" s="79">
        <f t="shared" ref="N16:N19" si="2">M16/G16</f>
        <v>1.200127229340914</v>
      </c>
      <c r="O16" s="79">
        <v>855.15200810039812</v>
      </c>
    </row>
    <row r="17" spans="1:15" ht="37.5" customHeight="1" x14ac:dyDescent="0.25">
      <c r="A17" s="428" t="s">
        <v>53</v>
      </c>
      <c r="B17" s="429"/>
      <c r="C17" s="430"/>
      <c r="D17" s="8" t="s">
        <v>54</v>
      </c>
      <c r="E17" s="26">
        <v>1.46E-2</v>
      </c>
      <c r="F17" s="24">
        <f>33505.6452*G17</f>
        <v>113684.65416359999</v>
      </c>
      <c r="G17" s="23">
        <v>3.3929999999999998</v>
      </c>
      <c r="H17" s="24">
        <f>F17*E17</f>
        <v>1659.7959507885598</v>
      </c>
      <c r="I17" s="24">
        <f>H17*J14/1000</f>
        <v>1603228.4449897348</v>
      </c>
      <c r="J17" s="3">
        <v>0.5972950720635456</v>
      </c>
      <c r="K17" s="81">
        <f t="shared" si="0"/>
        <v>33505.645195295576</v>
      </c>
      <c r="L17" s="77">
        <f t="shared" si="1"/>
        <v>34.687841522214157</v>
      </c>
      <c r="M17" s="78">
        <f t="shared" ref="M17:M19" si="3">L17/E17</f>
        <v>2375.8795563160379</v>
      </c>
      <c r="N17" s="79">
        <f t="shared" si="2"/>
        <v>700.2297542929673</v>
      </c>
      <c r="O17" s="79">
        <v>50587.935374361979</v>
      </c>
    </row>
    <row r="18" spans="1:15" ht="36" customHeight="1" x14ac:dyDescent="0.25">
      <c r="A18" s="428" t="s">
        <v>55</v>
      </c>
      <c r="B18" s="429"/>
      <c r="C18" s="430"/>
      <c r="D18" s="8" t="s">
        <v>56</v>
      </c>
      <c r="E18" s="23">
        <v>4.0000000000000001E-3</v>
      </c>
      <c r="F18" s="24">
        <f>5784.7177*G18</f>
        <v>19627.547156099998</v>
      </c>
      <c r="G18" s="23">
        <v>3.3929999999999998</v>
      </c>
      <c r="H18" s="24">
        <f>F18*E18</f>
        <v>78.510188624399987</v>
      </c>
      <c r="I18" s="24">
        <f>H18*J14/1000</f>
        <v>75834.482885891804</v>
      </c>
      <c r="J18" s="3">
        <v>2.8252718930309239E-2</v>
      </c>
      <c r="K18" s="81">
        <f t="shared" si="0"/>
        <v>5784.7176630637623</v>
      </c>
      <c r="L18" s="77">
        <f t="shared" si="1"/>
        <v>5.9888227305434123</v>
      </c>
      <c r="M18" s="78">
        <f t="shared" si="3"/>
        <v>1497.205682635853</v>
      </c>
      <c r="N18" s="79">
        <f t="shared" si="2"/>
        <v>441.26309538339319</v>
      </c>
      <c r="O18" s="79">
        <v>8733.9587580628995</v>
      </c>
    </row>
    <row r="19" spans="1:15" ht="15" customHeight="1" x14ac:dyDescent="0.25">
      <c r="A19" s="428" t="s">
        <v>58</v>
      </c>
      <c r="B19" s="429"/>
      <c r="C19" s="430"/>
      <c r="D19" s="8" t="s">
        <v>60</v>
      </c>
      <c r="E19" s="27">
        <v>9.1999999999999998E-2</v>
      </c>
      <c r="F19" s="24">
        <f>897.0069*G19</f>
        <v>3043.5444116999997</v>
      </c>
      <c r="G19" s="23">
        <v>3.3929999999999998</v>
      </c>
      <c r="H19" s="24">
        <f>F19*E19</f>
        <v>280.00608587639999</v>
      </c>
      <c r="I19" s="24">
        <f>H19*J14/1000</f>
        <v>270463.1984636464</v>
      </c>
      <c r="J19" s="3">
        <v>0.10076315801271084</v>
      </c>
      <c r="K19" s="81">
        <f t="shared" si="0"/>
        <v>897.00704155545509</v>
      </c>
      <c r="L19" s="77">
        <f t="shared" si="1"/>
        <v>0.92865658668631124</v>
      </c>
      <c r="M19" s="78">
        <f t="shared" si="3"/>
        <v>10.094093333546862</v>
      </c>
      <c r="N19" s="79">
        <f t="shared" si="2"/>
        <v>2.974975930900932</v>
      </c>
      <c r="O19" s="79">
        <v>1354.3310085228961</v>
      </c>
    </row>
    <row r="20" spans="1:15" ht="15" customHeight="1" x14ac:dyDescent="0.3">
      <c r="A20" s="11"/>
      <c r="B20" s="11"/>
      <c r="C20" s="11"/>
      <c r="D20" s="28"/>
      <c r="E20" s="29"/>
      <c r="F20" s="30"/>
      <c r="G20" s="31"/>
      <c r="H20" s="30"/>
      <c r="I20" s="30"/>
    </row>
    <row r="21" spans="1:15" ht="15" customHeight="1" x14ac:dyDescent="0.3">
      <c r="A21" s="11"/>
      <c r="B21" s="11"/>
      <c r="C21" s="11"/>
      <c r="D21" s="28"/>
      <c r="E21" s="29"/>
      <c r="F21" s="30"/>
      <c r="G21" s="31"/>
      <c r="H21" s="30"/>
      <c r="I21" s="30"/>
    </row>
    <row r="22" spans="1:15" ht="15" customHeight="1" x14ac:dyDescent="0.3">
      <c r="A22" s="11"/>
      <c r="B22" s="11"/>
      <c r="C22" s="11"/>
      <c r="D22" s="28"/>
      <c r="E22" s="29"/>
      <c r="F22" s="30"/>
      <c r="G22" s="31"/>
      <c r="H22" s="30"/>
      <c r="I22" s="30"/>
    </row>
    <row r="23" spans="1:15" ht="15.75" x14ac:dyDescent="0.25">
      <c r="A23" s="431" t="s">
        <v>29</v>
      </c>
      <c r="B23" s="431"/>
      <c r="C23" s="431"/>
      <c r="D23" s="431"/>
      <c r="E23" s="431"/>
      <c r="F23" s="431"/>
      <c r="G23" s="431"/>
      <c r="H23" s="431"/>
      <c r="I23" s="431"/>
    </row>
    <row r="24" spans="1:15" ht="15.75" x14ac:dyDescent="0.25">
      <c r="A24" s="431" t="s">
        <v>30</v>
      </c>
      <c r="B24" s="431"/>
      <c r="C24" s="431"/>
      <c r="D24" s="431"/>
      <c r="E24" s="431"/>
      <c r="F24" s="431"/>
      <c r="G24" s="431"/>
      <c r="H24" s="431"/>
      <c r="I24" s="431"/>
    </row>
    <row r="25" spans="1:15" ht="15.75" x14ac:dyDescent="0.25">
      <c r="A25" s="431" t="s">
        <v>0</v>
      </c>
      <c r="B25" s="431"/>
      <c r="C25" s="431"/>
      <c r="D25" s="431"/>
      <c r="E25" s="431"/>
      <c r="F25" s="431"/>
      <c r="G25" s="431"/>
      <c r="H25" s="431"/>
      <c r="I25" s="431"/>
    </row>
    <row r="26" spans="1:15" ht="15.6" x14ac:dyDescent="0.3">
      <c r="A26" s="12"/>
      <c r="B26" s="12"/>
      <c r="C26" s="12"/>
      <c r="D26" s="12"/>
      <c r="E26" s="16"/>
      <c r="F26" s="16"/>
      <c r="G26" s="16"/>
      <c r="H26" s="16"/>
      <c r="I26" s="16"/>
    </row>
    <row r="27" spans="1:15" ht="15.6" x14ac:dyDescent="0.3">
      <c r="A27" s="5"/>
      <c r="B27" s="5"/>
      <c r="C27" s="5"/>
      <c r="D27" s="5"/>
      <c r="E27" s="17"/>
      <c r="F27" s="17"/>
      <c r="G27" s="17"/>
      <c r="H27" s="17"/>
      <c r="I27" s="17">
        <v>2461711.0691581331</v>
      </c>
    </row>
    <row r="28" spans="1:15" ht="102" customHeight="1" x14ac:dyDescent="0.25">
      <c r="A28" s="432"/>
      <c r="B28" s="433"/>
      <c r="C28" s="434"/>
      <c r="D28" s="441" t="s">
        <v>32</v>
      </c>
      <c r="E28" s="432" t="s">
        <v>33</v>
      </c>
      <c r="F28" s="432" t="s">
        <v>34</v>
      </c>
      <c r="G28" s="444" t="s">
        <v>35</v>
      </c>
      <c r="H28" s="18" t="s">
        <v>36</v>
      </c>
      <c r="I28" s="19" t="s">
        <v>37</v>
      </c>
    </row>
    <row r="29" spans="1:15" ht="14.45" customHeight="1" x14ac:dyDescent="0.25">
      <c r="A29" s="435"/>
      <c r="B29" s="436"/>
      <c r="C29" s="437"/>
      <c r="D29" s="442"/>
      <c r="E29" s="435"/>
      <c r="F29" s="435"/>
      <c r="G29" s="445"/>
      <c r="H29" s="18" t="s">
        <v>38</v>
      </c>
      <c r="I29" s="19" t="s">
        <v>39</v>
      </c>
    </row>
    <row r="30" spans="1:15" ht="75" customHeight="1" x14ac:dyDescent="0.25">
      <c r="A30" s="438"/>
      <c r="B30" s="439"/>
      <c r="C30" s="440"/>
      <c r="D30" s="443"/>
      <c r="E30" s="438"/>
      <c r="F30" s="438"/>
      <c r="G30" s="446"/>
      <c r="H30" s="18" t="s">
        <v>41</v>
      </c>
      <c r="I30" s="19" t="s">
        <v>41</v>
      </c>
    </row>
    <row r="31" spans="1:15" x14ac:dyDescent="0.25">
      <c r="A31" s="447">
        <v>1</v>
      </c>
      <c r="B31" s="447"/>
      <c r="C31" s="447"/>
      <c r="D31" s="6">
        <v>2</v>
      </c>
      <c r="E31" s="20">
        <v>3</v>
      </c>
      <c r="F31" s="20">
        <v>4</v>
      </c>
      <c r="G31" s="20"/>
      <c r="H31" s="21">
        <v>5</v>
      </c>
      <c r="I31" s="21">
        <v>6</v>
      </c>
    </row>
    <row r="32" spans="1:15" ht="45" customHeight="1" x14ac:dyDescent="0.25">
      <c r="A32" s="448" t="s">
        <v>44</v>
      </c>
      <c r="B32" s="449"/>
      <c r="C32" s="450"/>
      <c r="D32" s="7"/>
      <c r="E32" s="22" t="s">
        <v>45</v>
      </c>
      <c r="F32" s="22" t="s">
        <v>45</v>
      </c>
      <c r="G32" s="23">
        <v>3.3929999999999998</v>
      </c>
      <c r="H32" s="24"/>
      <c r="I32" s="25">
        <f>SUM(I33:I37)</f>
        <v>2461711.070953466</v>
      </c>
      <c r="J32" s="3">
        <f>F66</f>
        <v>967236</v>
      </c>
      <c r="K32" s="3" t="s">
        <v>46</v>
      </c>
    </row>
    <row r="33" spans="1:11" ht="54.75" customHeight="1" x14ac:dyDescent="0.25">
      <c r="A33" s="451" t="s">
        <v>50</v>
      </c>
      <c r="B33" s="452"/>
      <c r="C33" s="453"/>
      <c r="D33" s="8" t="s">
        <v>51</v>
      </c>
      <c r="E33" s="23">
        <v>0.73</v>
      </c>
      <c r="F33" s="32">
        <f>178.88511*G33</f>
        <v>606.95717822999995</v>
      </c>
      <c r="G33" s="23">
        <v>3.3929999999999998</v>
      </c>
      <c r="H33" s="24">
        <f>F33*E33</f>
        <v>443.07874010789993</v>
      </c>
      <c r="I33" s="24">
        <f>H33*J32/1000</f>
        <v>428561.70826700475</v>
      </c>
      <c r="J33" s="3">
        <v>0.17409098468190665</v>
      </c>
      <c r="K33" s="81">
        <f>J33*2461711.069/967236*1000/E33/G33</f>
        <v>178.88510822082085</v>
      </c>
    </row>
    <row r="34" spans="1:11" x14ac:dyDescent="0.25">
      <c r="A34" s="454"/>
      <c r="B34" s="455"/>
      <c r="C34" s="456"/>
      <c r="D34" s="8" t="s">
        <v>52</v>
      </c>
      <c r="E34" s="23">
        <v>0.14399999999999999</v>
      </c>
      <c r="F34" s="32">
        <f>518.73551*G34</f>
        <v>1760.0695854299997</v>
      </c>
      <c r="G34" s="23">
        <v>3.3929999999999998</v>
      </c>
      <c r="H34" s="24">
        <f>F34*E34</f>
        <v>253.45002030191995</v>
      </c>
      <c r="I34" s="24">
        <f>H34*J32/1000</f>
        <v>245145.98383674785</v>
      </c>
      <c r="J34" s="3">
        <v>9.958357350502503E-2</v>
      </c>
      <c r="K34" s="81">
        <f t="shared" ref="K34:K37" si="4">J34*2461711.069/967236*1000/E34/G34</f>
        <v>518.73551285906433</v>
      </c>
    </row>
    <row r="35" spans="1:11" ht="37.5" customHeight="1" x14ac:dyDescent="0.25">
      <c r="A35" s="428" t="s">
        <v>53</v>
      </c>
      <c r="B35" s="429"/>
      <c r="C35" s="430"/>
      <c r="D35" s="8" t="s">
        <v>54</v>
      </c>
      <c r="E35" s="26">
        <v>1.46E-2</v>
      </c>
      <c r="F35" s="32">
        <f>30687.52121*G35</f>
        <v>104122.75946552999</v>
      </c>
      <c r="G35" s="23">
        <v>3.3929999999999998</v>
      </c>
      <c r="H35" s="24">
        <f>F35*E35</f>
        <v>1520.192288196738</v>
      </c>
      <c r="I35" s="24">
        <f>H35*J32/1000</f>
        <v>1470384.7080662602</v>
      </c>
      <c r="J35" s="3">
        <v>0.59730190374758385</v>
      </c>
      <c r="K35" s="81">
        <f t="shared" si="4"/>
        <v>30687.521208412592</v>
      </c>
    </row>
    <row r="36" spans="1:11" ht="15" customHeight="1" x14ac:dyDescent="0.25">
      <c r="A36" s="428" t="s">
        <v>55</v>
      </c>
      <c r="B36" s="429"/>
      <c r="C36" s="430"/>
      <c r="D36" s="8" t="s">
        <v>56</v>
      </c>
      <c r="E36" s="23">
        <v>4.0000000000000001E-3</v>
      </c>
      <c r="F36" s="32">
        <f>5298.1606*G36</f>
        <v>17976.658915799999</v>
      </c>
      <c r="G36" s="23">
        <v>3.3929999999999998</v>
      </c>
      <c r="H36" s="24">
        <f>F36*E36</f>
        <v>71.906635663199992</v>
      </c>
      <c r="I36" s="24">
        <f>H36*J32/1000</f>
        <v>69550.6866523309</v>
      </c>
      <c r="J36" s="3">
        <v>2.8252985315915025E-2</v>
      </c>
      <c r="K36" s="81">
        <f t="shared" si="4"/>
        <v>5298.1606024492085</v>
      </c>
    </row>
    <row r="37" spans="1:11" ht="15" customHeight="1" x14ac:dyDescent="0.25">
      <c r="A37" s="428" t="s">
        <v>58</v>
      </c>
      <c r="B37" s="429"/>
      <c r="C37" s="430"/>
      <c r="D37" s="8" t="s">
        <v>60</v>
      </c>
      <c r="E37" s="27">
        <v>9.1999999999999998E-2</v>
      </c>
      <c r="F37" s="32">
        <f>821.61163*G37</f>
        <v>2787.72826059</v>
      </c>
      <c r="G37" s="23">
        <v>3.3929999999999998</v>
      </c>
      <c r="H37" s="24">
        <f>F37*E37</f>
        <v>256.47099997428001</v>
      </c>
      <c r="I37" s="24">
        <f>H37*J32/1000</f>
        <v>248067.98413112271</v>
      </c>
      <c r="J37" s="3">
        <v>0.10077055274956941</v>
      </c>
      <c r="K37" s="81">
        <f t="shared" si="4"/>
        <v>821.61163331780745</v>
      </c>
    </row>
    <row r="38" spans="1:11" ht="15" customHeight="1" x14ac:dyDescent="0.25">
      <c r="A38" s="11"/>
      <c r="B38" s="11"/>
      <c r="C38" s="11"/>
      <c r="D38" s="28"/>
      <c r="E38" s="29"/>
      <c r="F38" s="30"/>
      <c r="G38" s="31"/>
      <c r="H38" s="30"/>
      <c r="I38" s="30"/>
    </row>
    <row r="39" spans="1:11" ht="15" customHeight="1" x14ac:dyDescent="0.25">
      <c r="A39" s="11"/>
      <c r="B39" s="11"/>
      <c r="C39" s="11"/>
      <c r="D39" s="28"/>
      <c r="E39" s="29"/>
      <c r="F39" s="30"/>
      <c r="G39" s="31"/>
      <c r="H39" s="30"/>
      <c r="I39" s="30"/>
    </row>
    <row r="40" spans="1:11" ht="15.75" x14ac:dyDescent="0.25">
      <c r="A40" s="431" t="s">
        <v>29</v>
      </c>
      <c r="B40" s="431"/>
      <c r="C40" s="431"/>
      <c r="D40" s="431"/>
      <c r="E40" s="431"/>
      <c r="F40" s="431"/>
      <c r="G40" s="431"/>
      <c r="H40" s="431"/>
      <c r="I40" s="431"/>
    </row>
    <row r="41" spans="1:11" ht="15.75" x14ac:dyDescent="0.25">
      <c r="A41" s="431" t="s">
        <v>30</v>
      </c>
      <c r="B41" s="431"/>
      <c r="C41" s="431"/>
      <c r="D41" s="431"/>
      <c r="E41" s="431"/>
      <c r="F41" s="431"/>
      <c r="G41" s="431"/>
      <c r="H41" s="431"/>
      <c r="I41" s="431"/>
    </row>
    <row r="42" spans="1:11" ht="15.75" x14ac:dyDescent="0.25">
      <c r="A42" s="431" t="s">
        <v>136</v>
      </c>
      <c r="B42" s="431"/>
      <c r="C42" s="431"/>
      <c r="D42" s="431"/>
      <c r="E42" s="431"/>
      <c r="F42" s="431"/>
      <c r="G42" s="431"/>
      <c r="H42" s="431"/>
      <c r="I42" s="431"/>
    </row>
    <row r="43" spans="1:11" ht="15.75" x14ac:dyDescent="0.25">
      <c r="A43" s="12"/>
      <c r="B43" s="12"/>
      <c r="C43" s="12"/>
      <c r="D43" s="12"/>
      <c r="E43" s="16"/>
      <c r="F43" s="16"/>
      <c r="G43" s="16"/>
      <c r="H43" s="16"/>
      <c r="I43" s="16"/>
    </row>
    <row r="44" spans="1:11" ht="15.75" x14ac:dyDescent="0.25">
      <c r="A44" s="5"/>
      <c r="B44" s="5"/>
      <c r="C44" s="5"/>
      <c r="D44" s="5"/>
      <c r="E44" s="17"/>
      <c r="F44" s="17"/>
      <c r="G44" s="17"/>
      <c r="H44" s="17"/>
      <c r="I44" s="82">
        <v>2190702.4322073199</v>
      </c>
    </row>
    <row r="45" spans="1:11" ht="102" customHeight="1" x14ac:dyDescent="0.25">
      <c r="A45" s="432"/>
      <c r="B45" s="433"/>
      <c r="C45" s="434"/>
      <c r="D45" s="441" t="s">
        <v>32</v>
      </c>
      <c r="E45" s="432" t="s">
        <v>33</v>
      </c>
      <c r="F45" s="432" t="s">
        <v>34</v>
      </c>
      <c r="G45" s="444" t="s">
        <v>35</v>
      </c>
      <c r="H45" s="18" t="s">
        <v>36</v>
      </c>
      <c r="I45" s="19" t="s">
        <v>37</v>
      </c>
    </row>
    <row r="46" spans="1:11" ht="14.45" customHeight="1" x14ac:dyDescent="0.25">
      <c r="A46" s="435"/>
      <c r="B46" s="436"/>
      <c r="C46" s="437"/>
      <c r="D46" s="442"/>
      <c r="E46" s="435"/>
      <c r="F46" s="435"/>
      <c r="G46" s="445"/>
      <c r="H46" s="18" t="s">
        <v>38</v>
      </c>
      <c r="I46" s="19" t="s">
        <v>39</v>
      </c>
    </row>
    <row r="47" spans="1:11" ht="75" customHeight="1" x14ac:dyDescent="0.25">
      <c r="A47" s="438"/>
      <c r="B47" s="439"/>
      <c r="C47" s="440"/>
      <c r="D47" s="443"/>
      <c r="E47" s="438"/>
      <c r="F47" s="438"/>
      <c r="G47" s="446"/>
      <c r="H47" s="18" t="s">
        <v>41</v>
      </c>
      <c r="I47" s="19" t="s">
        <v>41</v>
      </c>
    </row>
    <row r="48" spans="1:11" x14ac:dyDescent="0.25">
      <c r="A48" s="447">
        <v>1</v>
      </c>
      <c r="B48" s="447"/>
      <c r="C48" s="447"/>
      <c r="D48" s="6">
        <v>2</v>
      </c>
      <c r="E48" s="20">
        <v>3</v>
      </c>
      <c r="F48" s="20">
        <v>4</v>
      </c>
      <c r="G48" s="20"/>
      <c r="H48" s="21">
        <v>5</v>
      </c>
      <c r="I48" s="21">
        <v>6</v>
      </c>
    </row>
    <row r="49" spans="1:11" ht="45" customHeight="1" x14ac:dyDescent="0.25">
      <c r="A49" s="448" t="s">
        <v>44</v>
      </c>
      <c r="B49" s="449"/>
      <c r="C49" s="450"/>
      <c r="D49" s="7"/>
      <c r="E49" s="22" t="s">
        <v>45</v>
      </c>
      <c r="F49" s="22" t="s">
        <v>45</v>
      </c>
      <c r="G49" s="23">
        <v>3.3929999999999998</v>
      </c>
      <c r="H49" s="24"/>
      <c r="I49" s="25">
        <f>SUM(I50:I54)</f>
        <v>2190702.4335293029</v>
      </c>
      <c r="J49" s="3">
        <f>F67</f>
        <v>968750</v>
      </c>
      <c r="K49" s="3" t="s">
        <v>46</v>
      </c>
    </row>
    <row r="50" spans="1:11" ht="54.75" customHeight="1" x14ac:dyDescent="0.25">
      <c r="A50" s="451" t="s">
        <v>50</v>
      </c>
      <c r="B50" s="452"/>
      <c r="C50" s="453"/>
      <c r="D50" s="8" t="s">
        <v>51</v>
      </c>
      <c r="E50" s="23">
        <v>0.73</v>
      </c>
      <c r="F50" s="32">
        <f>158.94614*G50</f>
        <v>539.30425302000003</v>
      </c>
      <c r="G50" s="23">
        <v>3.3929999999999998</v>
      </c>
      <c r="H50" s="24">
        <f>F50*E50</f>
        <v>393.69210470460001</v>
      </c>
      <c r="I50" s="24">
        <f>H50*J49/1000</f>
        <v>381389.22643258126</v>
      </c>
      <c r="J50" s="3">
        <v>0.17409449097552421</v>
      </c>
      <c r="K50" s="81">
        <f>J50*2190702.43/968750*1000/E50/G50</f>
        <v>158.9461391652853</v>
      </c>
    </row>
    <row r="51" spans="1:11" x14ac:dyDescent="0.25">
      <c r="A51" s="454"/>
      <c r="B51" s="455"/>
      <c r="C51" s="456"/>
      <c r="D51" s="8" t="s">
        <v>52</v>
      </c>
      <c r="E51" s="23">
        <v>0.14399999999999999</v>
      </c>
      <c r="F51" s="32">
        <f>460.92709*G51</f>
        <v>1563.9256163699999</v>
      </c>
      <c r="G51" s="23">
        <v>3.3929999999999998</v>
      </c>
      <c r="H51" s="24">
        <f>F51*E51</f>
        <v>225.20528875727999</v>
      </c>
      <c r="I51" s="24">
        <f>H51*J49/1000</f>
        <v>218167.62348361497</v>
      </c>
      <c r="J51" s="3">
        <v>9.9587977123678437E-2</v>
      </c>
      <c r="K51" s="81">
        <f t="shared" ref="K51:K54" si="5">J51*2190702.432/968750*1000/E51/G51</f>
        <v>460.92709042082794</v>
      </c>
    </row>
    <row r="52" spans="1:11" ht="37.5" customHeight="1" x14ac:dyDescent="0.25">
      <c r="A52" s="428" t="s">
        <v>53</v>
      </c>
      <c r="B52" s="429"/>
      <c r="C52" s="430"/>
      <c r="D52" s="8" t="s">
        <v>54</v>
      </c>
      <c r="E52" s="26">
        <v>1.46E-2</v>
      </c>
      <c r="F52" s="32">
        <f>27266.33274*G52</f>
        <v>92514.666986819997</v>
      </c>
      <c r="G52" s="23">
        <v>3.3929999999999998</v>
      </c>
      <c r="H52" s="24">
        <f>F52*E52</f>
        <v>1350.714138007572</v>
      </c>
      <c r="I52" s="24">
        <f>H52*J49/1000</f>
        <v>1308504.3211948355</v>
      </c>
      <c r="J52" s="3">
        <v>0.59729897674779897</v>
      </c>
      <c r="K52" s="81">
        <f t="shared" si="5"/>
        <v>27266.332735784083</v>
      </c>
    </row>
    <row r="53" spans="1:11" ht="43.5" customHeight="1" x14ac:dyDescent="0.25">
      <c r="A53" s="428" t="s">
        <v>55</v>
      </c>
      <c r="B53" s="429"/>
      <c r="C53" s="430"/>
      <c r="D53" s="8" t="s">
        <v>56</v>
      </c>
      <c r="E53" s="23">
        <v>4.0000000000000001E-3</v>
      </c>
      <c r="F53" s="32">
        <f>4707.51332*G53</f>
        <v>15972.592694759998</v>
      </c>
      <c r="G53" s="23">
        <v>3.3929999999999998</v>
      </c>
      <c r="H53" s="24">
        <f>F53*E53</f>
        <v>63.890370779039998</v>
      </c>
      <c r="I53" s="24">
        <f>H53*J49/1000</f>
        <v>61893.796692194999</v>
      </c>
      <c r="J53" s="3">
        <v>2.8252945645785517E-2</v>
      </c>
      <c r="K53" s="81">
        <f t="shared" si="5"/>
        <v>4707.5133234371442</v>
      </c>
    </row>
    <row r="54" spans="1:11" ht="15" customHeight="1" x14ac:dyDescent="0.25">
      <c r="A54" s="428" t="s">
        <v>58</v>
      </c>
      <c r="B54" s="429"/>
      <c r="C54" s="430"/>
      <c r="D54" s="8" t="s">
        <v>60</v>
      </c>
      <c r="E54" s="27">
        <v>9.1999999999999998E-2</v>
      </c>
      <c r="F54" s="32">
        <f>729.98229*G54</f>
        <v>2476.8299099699998</v>
      </c>
      <c r="G54" s="23">
        <v>3.3929999999999998</v>
      </c>
      <c r="H54" s="24">
        <f>F54*E54</f>
        <v>227.86835171723999</v>
      </c>
      <c r="I54" s="24">
        <f>H54*J49/1000</f>
        <v>220747.46572607625</v>
      </c>
      <c r="J54" s="3">
        <v>0.10076560950721282</v>
      </c>
      <c r="K54" s="81">
        <f t="shared" si="5"/>
        <v>729.98229027558489</v>
      </c>
    </row>
    <row r="55" spans="1:11" ht="15" customHeight="1" x14ac:dyDescent="0.25">
      <c r="A55" s="11"/>
      <c r="B55" s="11"/>
      <c r="C55" s="11"/>
      <c r="D55" s="28"/>
      <c r="E55" s="29"/>
      <c r="F55" s="30"/>
      <c r="G55" s="31"/>
      <c r="H55" s="30"/>
      <c r="I55" s="30"/>
    </row>
    <row r="56" spans="1:11" ht="15" customHeight="1" x14ac:dyDescent="0.25">
      <c r="A56" s="11"/>
      <c r="B56" s="11"/>
      <c r="C56" s="11"/>
      <c r="D56" s="28"/>
      <c r="E56" s="29"/>
      <c r="F56" s="30"/>
      <c r="G56" s="31"/>
      <c r="H56" s="30"/>
      <c r="I56" s="30"/>
    </row>
    <row r="57" spans="1:11" ht="15" customHeight="1" x14ac:dyDescent="0.25">
      <c r="A57" s="11"/>
      <c r="B57" s="11"/>
      <c r="C57" s="11"/>
      <c r="D57" s="28"/>
      <c r="E57" s="29"/>
      <c r="F57" s="30"/>
      <c r="G57" s="31"/>
      <c r="H57" s="30"/>
      <c r="I57" s="30"/>
    </row>
    <row r="58" spans="1:11" ht="15" customHeight="1" x14ac:dyDescent="0.25">
      <c r="A58" s="11"/>
      <c r="B58" s="11"/>
      <c r="C58" s="11"/>
      <c r="D58" s="28"/>
      <c r="E58" s="29"/>
      <c r="F58" s="30"/>
      <c r="G58" s="31"/>
      <c r="H58" s="30"/>
      <c r="I58" s="30"/>
    </row>
    <row r="59" spans="1:11" ht="15" customHeight="1" x14ac:dyDescent="0.25">
      <c r="A59" s="11"/>
      <c r="B59" s="11"/>
      <c r="C59" s="11"/>
      <c r="D59" s="28"/>
      <c r="E59" s="29"/>
      <c r="F59" s="30"/>
      <c r="G59" s="31"/>
      <c r="H59" s="30"/>
      <c r="I59" s="30"/>
    </row>
    <row r="60" spans="1:11" ht="15" customHeight="1" x14ac:dyDescent="0.25">
      <c r="A60" s="11"/>
      <c r="B60" s="11"/>
      <c r="C60" s="11"/>
      <c r="D60" s="28"/>
      <c r="E60" s="29"/>
      <c r="F60" s="30"/>
      <c r="G60" s="31"/>
      <c r="H60" s="30"/>
      <c r="I60" s="30"/>
    </row>
    <row r="61" spans="1:11" ht="15" customHeight="1" x14ac:dyDescent="0.25">
      <c r="A61" s="11"/>
      <c r="B61" s="11"/>
      <c r="C61" s="11"/>
      <c r="D61" s="28"/>
      <c r="E61" s="29"/>
      <c r="F61" s="30"/>
      <c r="G61" s="31"/>
      <c r="H61" s="30"/>
      <c r="I61" s="30"/>
    </row>
    <row r="64" spans="1:11" ht="59.45" customHeight="1" x14ac:dyDescent="0.25">
      <c r="C64" s="10" t="s">
        <v>137</v>
      </c>
      <c r="D64" s="9" t="s">
        <v>138</v>
      </c>
      <c r="E64" s="33" t="s">
        <v>139</v>
      </c>
      <c r="F64" s="34" t="s">
        <v>140</v>
      </c>
      <c r="G64" s="34" t="s">
        <v>141</v>
      </c>
      <c r="H64" s="34" t="s">
        <v>142</v>
      </c>
      <c r="I64" s="34" t="s">
        <v>143</v>
      </c>
      <c r="J64" s="13"/>
      <c r="K64" s="4"/>
    </row>
    <row r="65" spans="3:11" x14ac:dyDescent="0.25">
      <c r="C65" s="10" t="s">
        <v>6</v>
      </c>
      <c r="D65" s="9">
        <v>3488.6</v>
      </c>
      <c r="E65" s="33">
        <f>D65*G19</f>
        <v>11836.819799999999</v>
      </c>
      <c r="F65" s="33">
        <f>J14</f>
        <v>965919</v>
      </c>
      <c r="G65" s="35">
        <f>F65*E65/1000</f>
        <v>11433409.144396201</v>
      </c>
      <c r="H65" s="35">
        <f>G65-I65</f>
        <v>8749261.0200059731</v>
      </c>
      <c r="I65" s="35">
        <f>I14</f>
        <v>2684148.1243902273</v>
      </c>
      <c r="J65" s="13"/>
      <c r="K65" s="4"/>
    </row>
    <row r="66" spans="3:11" x14ac:dyDescent="0.25">
      <c r="C66" s="10" t="s">
        <v>1</v>
      </c>
      <c r="D66" s="9">
        <v>3621.1</v>
      </c>
      <c r="E66" s="33">
        <f>D66*G19</f>
        <v>12286.3923</v>
      </c>
      <c r="F66" s="33">
        <f>'[1]2020'!N14</f>
        <v>967236</v>
      </c>
      <c r="G66" s="35">
        <f>F66*E66/1000</f>
        <v>11883840.942682801</v>
      </c>
      <c r="H66" s="35">
        <f t="shared" ref="H66" si="6">G66-I66</f>
        <v>9422129.8717293348</v>
      </c>
      <c r="I66" s="35">
        <f>I32</f>
        <v>2461711.070953466</v>
      </c>
      <c r="J66" s="13"/>
      <c r="K66" s="4"/>
    </row>
    <row r="67" spans="3:11" x14ac:dyDescent="0.25">
      <c r="C67" s="10" t="s">
        <v>133</v>
      </c>
      <c r="D67" s="9">
        <v>3765.9</v>
      </c>
      <c r="E67" s="33">
        <f>D67*G19</f>
        <v>12777.698699999999</v>
      </c>
      <c r="F67" s="33">
        <f>'[1]2021'!N14</f>
        <v>968750</v>
      </c>
      <c r="G67" s="35">
        <f>F67*E67/1000</f>
        <v>12378395.615624998</v>
      </c>
      <c r="H67" s="35">
        <f>G67-I67</f>
        <v>10187693.182095695</v>
      </c>
      <c r="I67" s="35">
        <f>I49</f>
        <v>2190702.4335293029</v>
      </c>
      <c r="J67" s="13"/>
      <c r="K67" s="4"/>
    </row>
  </sheetData>
  <mergeCells count="43">
    <mergeCell ref="A54:C54"/>
    <mergeCell ref="A40:I40"/>
    <mergeCell ref="A41:I41"/>
    <mergeCell ref="A42:I42"/>
    <mergeCell ref="A45:C47"/>
    <mergeCell ref="D45:D47"/>
    <mergeCell ref="E45:E47"/>
    <mergeCell ref="F45:F47"/>
    <mergeCell ref="G45:G47"/>
    <mergeCell ref="A48:C48"/>
    <mergeCell ref="A49:C49"/>
    <mergeCell ref="A50:C51"/>
    <mergeCell ref="A52:C52"/>
    <mergeCell ref="A53:C53"/>
    <mergeCell ref="A37:C37"/>
    <mergeCell ref="A23:I23"/>
    <mergeCell ref="A24:I24"/>
    <mergeCell ref="A25:I25"/>
    <mergeCell ref="A28:C30"/>
    <mergeCell ref="D28:D30"/>
    <mergeCell ref="E28:E30"/>
    <mergeCell ref="F28:F30"/>
    <mergeCell ref="G28:G30"/>
    <mergeCell ref="A31:C31"/>
    <mergeCell ref="A32:C32"/>
    <mergeCell ref="A33:C34"/>
    <mergeCell ref="A35:C35"/>
    <mergeCell ref="A36:C36"/>
    <mergeCell ref="A19:C19"/>
    <mergeCell ref="H2:I2"/>
    <mergeCell ref="A5:I5"/>
    <mergeCell ref="A6:I6"/>
    <mergeCell ref="A7:I7"/>
    <mergeCell ref="A10:C12"/>
    <mergeCell ref="D10:D12"/>
    <mergeCell ref="E10:E12"/>
    <mergeCell ref="F10:F12"/>
    <mergeCell ref="G10:G12"/>
    <mergeCell ref="A13:C13"/>
    <mergeCell ref="A14:C14"/>
    <mergeCell ref="A15:C16"/>
    <mergeCell ref="A17:C17"/>
    <mergeCell ref="A18:C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прил6</vt:lpstr>
      <vt:lpstr>прил7</vt:lpstr>
      <vt:lpstr>прил8</vt:lpstr>
      <vt:lpstr>прил9</vt:lpstr>
      <vt:lpstr>прил11</vt:lpstr>
      <vt:lpstr>прил12</vt:lpstr>
      <vt:lpstr>не нужно</vt:lpstr>
      <vt:lpstr>прил11!Заголовки_для_печати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прил11!Область_печати</vt:lpstr>
      <vt:lpstr>прил12!Область_печати</vt:lpstr>
      <vt:lpstr>прил6!Область_печати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maksimova</dc:creator>
  <cp:lastModifiedBy>turkebaeva</cp:lastModifiedBy>
  <cp:lastPrinted>2019-02-04T07:46:48Z</cp:lastPrinted>
  <dcterms:created xsi:type="dcterms:W3CDTF">2017-03-03T02:43:01Z</dcterms:created>
  <dcterms:modified xsi:type="dcterms:W3CDTF">2019-02-06T07:22:09Z</dcterms:modified>
</cp:coreProperties>
</file>